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05" windowWidth="6675" windowHeight="6210" activeTab="1"/>
  </bookViews>
  <sheets>
    <sheet name="Assumptions" sheetId="1" r:id="rId1"/>
    <sheet name="Forecast and WACC" sheetId="2" r:id="rId2"/>
    <sheet name="Free Cash Flows" sheetId="4" r:id="rId3"/>
  </sheets>
  <calcPr calcId="145621"/>
</workbook>
</file>

<file path=xl/calcChain.xml><?xml version="1.0" encoding="utf-8"?>
<calcChain xmlns="http://schemas.openxmlformats.org/spreadsheetml/2006/main">
  <c r="B37" i="1" l="1"/>
  <c r="C18" i="2"/>
  <c r="D6" i="2" l="1"/>
  <c r="E6" i="2" s="1"/>
  <c r="F6" i="2" s="1"/>
  <c r="G6" i="2" s="1"/>
  <c r="H6" i="2" s="1"/>
  <c r="I6" i="2" s="1"/>
  <c r="B12" i="4"/>
  <c r="C19" i="4" l="1"/>
  <c r="C43" i="2"/>
  <c r="C32" i="2" s="1"/>
  <c r="C33" i="4" l="1"/>
  <c r="D43" i="2"/>
  <c r="E43" i="2" s="1"/>
  <c r="F43" i="2" s="1"/>
  <c r="G43" i="2" s="1"/>
  <c r="H43" i="2" s="1"/>
  <c r="I43" i="2" s="1"/>
  <c r="A112" i="2"/>
  <c r="C109" i="2"/>
  <c r="C110" i="2"/>
  <c r="A109" i="2"/>
  <c r="A110" i="2"/>
  <c r="A108" i="2"/>
  <c r="C95" i="2"/>
  <c r="D78" i="2"/>
  <c r="D32" i="2" l="1"/>
  <c r="E10" i="4" s="1"/>
  <c r="E14" i="4" s="1"/>
  <c r="E32" i="2"/>
  <c r="F10" i="4" s="1"/>
  <c r="F14" i="4" s="1"/>
  <c r="F32" i="2"/>
  <c r="G10" i="4" s="1"/>
  <c r="G14" i="4" s="1"/>
  <c r="G32" i="2"/>
  <c r="H10" i="4" s="1"/>
  <c r="H14" i="4" s="1"/>
  <c r="H32" i="2"/>
  <c r="I10" i="4" s="1"/>
  <c r="I14" i="4" s="1"/>
  <c r="I32" i="2"/>
  <c r="J10" i="4" s="1"/>
  <c r="J14" i="4" s="1"/>
  <c r="D10" i="4"/>
  <c r="D14" i="4" s="1"/>
  <c r="C30" i="2"/>
  <c r="J19" i="4" l="1"/>
  <c r="F28" i="1"/>
  <c r="F23" i="1"/>
  <c r="C37" i="1"/>
  <c r="C38" i="1" s="1"/>
  <c r="D30" i="2" l="1"/>
  <c r="E30" i="2"/>
  <c r="F30" i="2"/>
  <c r="G30" i="2"/>
  <c r="H30" i="2"/>
  <c r="I30" i="2"/>
  <c r="C8" i="2"/>
  <c r="F35" i="1" l="1"/>
  <c r="F30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H21" i="1" s="1"/>
  <c r="G22" i="1"/>
  <c r="G23" i="1"/>
  <c r="H23" i="1" s="1"/>
  <c r="G24" i="1"/>
  <c r="G25" i="1"/>
  <c r="H25" i="1" s="1"/>
  <c r="G26" i="1"/>
  <c r="H26" i="1" s="1"/>
  <c r="G27" i="1"/>
  <c r="H27" i="1" s="1"/>
  <c r="G28" i="1"/>
  <c r="H28" i="1" s="1"/>
  <c r="G29" i="1"/>
  <c r="G30" i="1"/>
  <c r="H30" i="1" s="1"/>
  <c r="G31" i="1"/>
  <c r="G32" i="1"/>
  <c r="H32" i="1" s="1"/>
  <c r="G33" i="1"/>
  <c r="G34" i="1"/>
  <c r="H34" i="1" s="1"/>
  <c r="G35" i="1"/>
  <c r="H35" i="1" s="1"/>
  <c r="G36" i="1"/>
  <c r="G6" i="1"/>
  <c r="H37" i="1" l="1"/>
  <c r="B39" i="1" s="1"/>
  <c r="C7" i="2" s="1"/>
  <c r="D26" i="2" l="1"/>
  <c r="D16" i="2" s="1"/>
  <c r="F26" i="2"/>
  <c r="F16" i="2" s="1"/>
  <c r="H26" i="2"/>
  <c r="H16" i="2" s="1"/>
  <c r="C26" i="2"/>
  <c r="C16" i="2" s="1"/>
  <c r="I25" i="2"/>
  <c r="G25" i="2"/>
  <c r="E25" i="2"/>
  <c r="E26" i="2"/>
  <c r="E16" i="2" s="1"/>
  <c r="G26" i="2"/>
  <c r="G16" i="2" s="1"/>
  <c r="I26" i="2"/>
  <c r="I16" i="2" s="1"/>
  <c r="C25" i="2"/>
  <c r="H25" i="2"/>
  <c r="F25" i="2"/>
  <c r="D25" i="2"/>
  <c r="D17" i="2" l="1"/>
  <c r="D51" i="2" s="1"/>
  <c r="D29" i="2"/>
  <c r="D14" i="2" s="1"/>
  <c r="D31" i="2"/>
  <c r="D27" i="2"/>
  <c r="D28" i="2"/>
  <c r="D15" i="2"/>
  <c r="D41" i="2" s="1"/>
  <c r="H17" i="2"/>
  <c r="H51" i="2" s="1"/>
  <c r="H31" i="2"/>
  <c r="H29" i="2"/>
  <c r="H14" i="2" s="1"/>
  <c r="H15" i="2"/>
  <c r="H41" i="2" s="1"/>
  <c r="H27" i="2"/>
  <c r="H28" i="2"/>
  <c r="G17" i="2"/>
  <c r="G51" i="2" s="1"/>
  <c r="G31" i="2"/>
  <c r="G29" i="2"/>
  <c r="G14" i="2" s="1"/>
  <c r="G15" i="2"/>
  <c r="G41" i="2" s="1"/>
  <c r="G28" i="2"/>
  <c r="G27" i="2"/>
  <c r="C53" i="2"/>
  <c r="F17" i="2"/>
  <c r="F51" i="2" s="1"/>
  <c r="F31" i="2"/>
  <c r="F29" i="2"/>
  <c r="F14" i="2" s="1"/>
  <c r="F27" i="2"/>
  <c r="F15" i="2"/>
  <c r="F41" i="2" s="1"/>
  <c r="F28" i="2"/>
  <c r="C17" i="2"/>
  <c r="C51" i="2" s="1"/>
  <c r="C28" i="2"/>
  <c r="C31" i="2"/>
  <c r="C29" i="2"/>
  <c r="C14" i="2" s="1"/>
  <c r="C15" i="2"/>
  <c r="C41" i="2" s="1"/>
  <c r="D24" i="4" s="1"/>
  <c r="C27" i="2"/>
  <c r="E17" i="2"/>
  <c r="E51" i="2" s="1"/>
  <c r="E31" i="2"/>
  <c r="E27" i="2"/>
  <c r="E28" i="2"/>
  <c r="E15" i="2"/>
  <c r="E41" i="2" s="1"/>
  <c r="F24" i="4" s="1"/>
  <c r="E29" i="2"/>
  <c r="E14" i="2" s="1"/>
  <c r="I17" i="2"/>
  <c r="I51" i="2" s="1"/>
  <c r="I31" i="2"/>
  <c r="I27" i="2"/>
  <c r="I28" i="2"/>
  <c r="I15" i="2"/>
  <c r="I41" i="2" s="1"/>
  <c r="I29" i="2"/>
  <c r="I14" i="2" s="1"/>
  <c r="C40" i="2" l="1"/>
  <c r="D23" i="4"/>
  <c r="J29" i="4"/>
  <c r="J24" i="4"/>
  <c r="J9" i="4"/>
  <c r="J11" i="4" s="1"/>
  <c r="J12" i="4" s="1"/>
  <c r="J30" i="4" s="1"/>
  <c r="I33" i="2"/>
  <c r="F9" i="4"/>
  <c r="F11" i="4" s="1"/>
  <c r="E33" i="2"/>
  <c r="E34" i="2" s="1"/>
  <c r="G24" i="4"/>
  <c r="F40" i="2"/>
  <c r="F46" i="2" s="1"/>
  <c r="G23" i="4"/>
  <c r="H9" i="4"/>
  <c r="G33" i="2"/>
  <c r="G34" i="2" s="1"/>
  <c r="G49" i="2" s="1"/>
  <c r="H24" i="4"/>
  <c r="I24" i="4"/>
  <c r="E24" i="4"/>
  <c r="E9" i="4"/>
  <c r="E11" i="4" s="1"/>
  <c r="D33" i="2"/>
  <c r="D34" i="2" s="1"/>
  <c r="D40" i="2"/>
  <c r="D46" i="2" s="1"/>
  <c r="E23" i="4"/>
  <c r="I40" i="2"/>
  <c r="J23" i="4"/>
  <c r="E40" i="2"/>
  <c r="E46" i="2" s="1"/>
  <c r="F23" i="4"/>
  <c r="D9" i="4"/>
  <c r="D11" i="4" s="1"/>
  <c r="C33" i="2"/>
  <c r="C34" i="2" s="1"/>
  <c r="F33" i="2"/>
  <c r="F34" i="2" s="1"/>
  <c r="F49" i="2" s="1"/>
  <c r="G9" i="4"/>
  <c r="G40" i="2"/>
  <c r="G46" i="2" s="1"/>
  <c r="H23" i="4"/>
  <c r="H33" i="2"/>
  <c r="I9" i="4"/>
  <c r="I11" i="4" s="1"/>
  <c r="H40" i="2"/>
  <c r="H46" i="2" s="1"/>
  <c r="I23" i="4"/>
  <c r="I12" i="4"/>
  <c r="G11" i="4"/>
  <c r="H11" i="4"/>
  <c r="C35" i="2"/>
  <c r="D35" i="2"/>
  <c r="D49" i="2"/>
  <c r="E35" i="2"/>
  <c r="E49" i="2"/>
  <c r="G35" i="2"/>
  <c r="F35" i="2" l="1"/>
  <c r="F67" i="2" s="1"/>
  <c r="I34" i="2"/>
  <c r="I49" i="2" s="1"/>
  <c r="I53" i="2" s="1"/>
  <c r="H34" i="2"/>
  <c r="H49" i="2" s="1"/>
  <c r="J28" i="4"/>
  <c r="I46" i="2"/>
  <c r="C65" i="2"/>
  <c r="C46" i="2"/>
  <c r="C67" i="2" s="1"/>
  <c r="G53" i="2"/>
  <c r="G65" i="2"/>
  <c r="G67" i="2"/>
  <c r="F53" i="2"/>
  <c r="F65" i="2"/>
  <c r="E53" i="2"/>
  <c r="E65" i="2"/>
  <c r="E67" i="2"/>
  <c r="D53" i="2"/>
  <c r="D65" i="2"/>
  <c r="D67" i="2"/>
  <c r="C57" i="2"/>
  <c r="C68" i="2" s="1"/>
  <c r="J13" i="4"/>
  <c r="J15" i="4" s="1"/>
  <c r="J25" i="4"/>
  <c r="I13" i="4"/>
  <c r="I15" i="4" s="1"/>
  <c r="D12" i="4"/>
  <c r="H12" i="4"/>
  <c r="E12" i="4"/>
  <c r="E13" i="4" s="1"/>
  <c r="E15" i="4" s="1"/>
  <c r="G12" i="4"/>
  <c r="F12" i="4"/>
  <c r="H35" i="2" l="1"/>
  <c r="H67" i="2" s="1"/>
  <c r="I35" i="2"/>
  <c r="I65" i="2"/>
  <c r="H53" i="2"/>
  <c r="H65" i="2"/>
  <c r="I67" i="2"/>
  <c r="C59" i="2"/>
  <c r="C61" i="2" s="1"/>
  <c r="C66" i="2"/>
  <c r="D57" i="2"/>
  <c r="F13" i="4"/>
  <c r="F15" i="4" s="1"/>
  <c r="F25" i="4"/>
  <c r="G13" i="4"/>
  <c r="G15" i="4" s="1"/>
  <c r="G25" i="4"/>
  <c r="H13" i="4"/>
  <c r="H15" i="4" s="1"/>
  <c r="H25" i="4"/>
  <c r="I25" i="4"/>
  <c r="I33" i="4" s="1"/>
  <c r="J33" i="4"/>
  <c r="D13" i="4"/>
  <c r="D15" i="4" s="1"/>
  <c r="E25" i="4"/>
  <c r="E33" i="4" s="1"/>
  <c r="D25" i="4"/>
  <c r="D66" i="2" l="1"/>
  <c r="D68" i="2"/>
  <c r="E57" i="2"/>
  <c r="D59" i="2"/>
  <c r="D61" i="2" s="1"/>
  <c r="H33" i="4"/>
  <c r="G33" i="4"/>
  <c r="F33" i="4"/>
  <c r="D33" i="4"/>
  <c r="C38" i="4" l="1"/>
  <c r="E59" i="2"/>
  <c r="E61" i="2" s="1"/>
  <c r="E66" i="2"/>
  <c r="E68" i="2"/>
  <c r="F57" i="2"/>
  <c r="G57" i="2" l="1"/>
  <c r="F66" i="2"/>
  <c r="F68" i="2"/>
  <c r="F59" i="2"/>
  <c r="F61" i="2" s="1"/>
  <c r="G66" i="2" l="1"/>
  <c r="G68" i="2"/>
  <c r="H57" i="2"/>
  <c r="G59" i="2"/>
  <c r="G61" i="2" s="1"/>
  <c r="H66" i="2" l="1"/>
  <c r="H68" i="2"/>
  <c r="I57" i="2"/>
  <c r="H59" i="2"/>
  <c r="H61" i="2" s="1"/>
  <c r="D84" i="2" l="1"/>
  <c r="I66" i="2"/>
  <c r="I68" i="2"/>
  <c r="I59" i="2"/>
  <c r="I61" i="2" s="1"/>
  <c r="D85" i="2" l="1"/>
  <c r="E83" i="2" s="1"/>
  <c r="C87" i="2" s="1"/>
  <c r="E84" i="2" l="1"/>
  <c r="C88" i="2" s="1"/>
  <c r="C97" i="2" s="1"/>
  <c r="C96" i="2"/>
  <c r="C90" i="2"/>
  <c r="C99" i="2" l="1"/>
  <c r="C104" i="2" s="1"/>
  <c r="C108" i="2" s="1"/>
  <c r="C112" i="2" s="1"/>
  <c r="C117" i="2" s="1"/>
  <c r="C35" i="4" s="1"/>
  <c r="D34" i="4" s="1"/>
  <c r="C34" i="4" l="1"/>
  <c r="G34" i="4"/>
  <c r="I34" i="4"/>
  <c r="E34" i="4"/>
  <c r="J34" i="4"/>
  <c r="H34" i="4"/>
  <c r="F34" i="4"/>
  <c r="C37" i="4" l="1"/>
</calcChain>
</file>

<file path=xl/sharedStrings.xml><?xml version="1.0" encoding="utf-8"?>
<sst xmlns="http://schemas.openxmlformats.org/spreadsheetml/2006/main" count="154" uniqueCount="149">
  <si>
    <t>Locations</t>
  </si>
  <si>
    <t>Coca-Cola Field</t>
  </si>
  <si>
    <t>Shea's Performing Arts Center</t>
  </si>
  <si>
    <t>Lafayette Square</t>
  </si>
  <si>
    <t>Niagara Square</t>
  </si>
  <si>
    <t>Erie Canal Harbor Central Wharg</t>
  </si>
  <si>
    <t>Blue Cross Arena</t>
  </si>
  <si>
    <t>Party in the Park</t>
  </si>
  <si>
    <t>East End Festival</t>
  </si>
  <si>
    <t>Columbus Circle</t>
  </si>
  <si>
    <t>Buffalo Niagra Convention Center</t>
  </si>
  <si>
    <t>Great American Ballpark</t>
  </si>
  <si>
    <t>U.S. Bank Arena</t>
  </si>
  <si>
    <t>Sawyer Point</t>
  </si>
  <si>
    <t>Energy Solutions Arena</t>
  </si>
  <si>
    <t>First Niagara Center</t>
  </si>
  <si>
    <t>Lavell Edwards Stadium</t>
  </si>
  <si>
    <t>Tampa Bay Times Forum</t>
  </si>
  <si>
    <t>Rio Tinto Stadium</t>
  </si>
  <si>
    <t>CNN Center</t>
  </si>
  <si>
    <t>Georgia Dome</t>
  </si>
  <si>
    <t>Philips Arena</t>
  </si>
  <si>
    <t>The Tabernacle</t>
  </si>
  <si>
    <t>Centennial Olympic Park</t>
  </si>
  <si>
    <t>World Congress Center</t>
  </si>
  <si>
    <t>Tropicana Field</t>
  </si>
  <si>
    <t>Empire State Building</t>
  </si>
  <si>
    <t>Mount Rushmore</t>
  </si>
  <si>
    <t>Georgia Aquarium</t>
  </si>
  <si>
    <t>CenturyLink Field</t>
  </si>
  <si>
    <t>Safeco Field</t>
  </si>
  <si>
    <t>Fenway Park</t>
  </si>
  <si>
    <t>Total</t>
  </si>
  <si>
    <t>Number of Events</t>
  </si>
  <si>
    <t>Number of Spots (Average)</t>
  </si>
  <si>
    <t>Dates</t>
  </si>
  <si>
    <t>6/20 - 10/27</t>
  </si>
  <si>
    <t>6/24 - 12/30</t>
  </si>
  <si>
    <t>6/26 - 12/16</t>
  </si>
  <si>
    <t>6/10 - 6/12</t>
  </si>
  <si>
    <t>6/6 - 9/27</t>
  </si>
  <si>
    <t>6/12 - 10/3</t>
  </si>
  <si>
    <t>6/30 - 12/30</t>
  </si>
  <si>
    <t>6/6 - 12/31</t>
  </si>
  <si>
    <t>6/8 - 10/3</t>
  </si>
  <si>
    <t>Parking Spots</t>
  </si>
  <si>
    <t>Fraction of Year</t>
  </si>
  <si>
    <t>Average Spots Per Location</t>
  </si>
  <si>
    <t>Ticket Markup Percentage</t>
  </si>
  <si>
    <t>Assumed Average Ticket Price</t>
  </si>
  <si>
    <t>Revenue</t>
  </si>
  <si>
    <t>Cost of Goods Sold</t>
  </si>
  <si>
    <t>Gross Margin</t>
  </si>
  <si>
    <t>Average Stalls per Event</t>
  </si>
  <si>
    <t>Average Number of Events</t>
  </si>
  <si>
    <t>Percent Growth of Events</t>
  </si>
  <si>
    <t>General &amp; Admin</t>
  </si>
  <si>
    <t>Wage Expense</t>
  </si>
  <si>
    <t>Other Operating Expenses</t>
  </si>
  <si>
    <t>Income before Tax</t>
  </si>
  <si>
    <t>General and Admin</t>
  </si>
  <si>
    <t>Other</t>
  </si>
  <si>
    <t>Taxes</t>
  </si>
  <si>
    <t>Tax Rate</t>
  </si>
  <si>
    <t>Net Income</t>
  </si>
  <si>
    <t>Assets</t>
  </si>
  <si>
    <t>Cash</t>
  </si>
  <si>
    <t>A/R</t>
  </si>
  <si>
    <t>Total Assets</t>
  </si>
  <si>
    <t>Liabilities</t>
  </si>
  <si>
    <t>Taxes Payable</t>
  </si>
  <si>
    <t>Bank Loan Payable</t>
  </si>
  <si>
    <t>Total Liabilities</t>
  </si>
  <si>
    <t>Minimum Cash Balance</t>
  </si>
  <si>
    <t>A/R  Turnover Rate (Days)</t>
  </si>
  <si>
    <t>A/P Turnover Rate (Days)</t>
  </si>
  <si>
    <t>Sales (Days)</t>
  </si>
  <si>
    <t>Shareholders Equity</t>
  </si>
  <si>
    <t xml:space="preserve">Common Stock </t>
  </si>
  <si>
    <t>Retained Earnings</t>
  </si>
  <si>
    <t>Bank Interest Rate</t>
  </si>
  <si>
    <t>Total Liabilities and Retained Earnings</t>
  </si>
  <si>
    <t>Financing Needed</t>
  </si>
  <si>
    <t>Bank Interest Expense</t>
  </si>
  <si>
    <t>WACC</t>
  </si>
  <si>
    <t>CAPM for the return equity holders want</t>
  </si>
  <si>
    <t>Beta</t>
  </si>
  <si>
    <t>T-Bill rate</t>
  </si>
  <si>
    <t>S&amp;P 500 rate</t>
  </si>
  <si>
    <t>Return equity holders want</t>
  </si>
  <si>
    <t>Fixed rate of bank debt</t>
  </si>
  <si>
    <t>Tax Rate of Company</t>
  </si>
  <si>
    <t>WACC projected for 2015</t>
  </si>
  <si>
    <t>Free Cash Flows</t>
  </si>
  <si>
    <t xml:space="preserve">Total </t>
  </si>
  <si>
    <t>Equity</t>
  </si>
  <si>
    <t>Debt</t>
  </si>
  <si>
    <t>Proportions</t>
  </si>
  <si>
    <t>Proportion of Debt</t>
  </si>
  <si>
    <t>Proportion of Equity</t>
  </si>
  <si>
    <t>NEW WACC</t>
  </si>
  <si>
    <t>Unlever and Relever the Beta</t>
  </si>
  <si>
    <t>Old (Equity) Beta</t>
  </si>
  <si>
    <t>Current Debt Proportion</t>
  </si>
  <si>
    <t>Current Equity Proportion</t>
  </si>
  <si>
    <t>Unlevered Beta (zero debt)</t>
  </si>
  <si>
    <t>New Debt Proportion</t>
  </si>
  <si>
    <t>New Equity Proportion</t>
  </si>
  <si>
    <t>Relevered Beta (70/30)</t>
  </si>
  <si>
    <t>CAPM to determine the return (cost) for equity holders</t>
  </si>
  <si>
    <t>New WACC</t>
  </si>
  <si>
    <t xml:space="preserve">Proportion of Debt </t>
  </si>
  <si>
    <t>Less: Depreciation</t>
  </si>
  <si>
    <t>Tax</t>
  </si>
  <si>
    <t>Add: Depreciation</t>
  </si>
  <si>
    <t>Miscellaneous</t>
  </si>
  <si>
    <t>Equipment</t>
  </si>
  <si>
    <t>Accumulated Depreciation</t>
  </si>
  <si>
    <t>Depreciation (30yrs.)</t>
  </si>
  <si>
    <t>Total Cash from Operations</t>
  </si>
  <si>
    <t>Cash from Capital Expenditures</t>
  </si>
  <si>
    <t>Purchase of Equipment</t>
  </si>
  <si>
    <t>Changes in Working Capital</t>
  </si>
  <si>
    <t>Liquidation of Working Capital</t>
  </si>
  <si>
    <t>Total Free Cash Flows</t>
  </si>
  <si>
    <t>PV of Free Cash Flows</t>
  </si>
  <si>
    <t>NPV</t>
  </si>
  <si>
    <t>IRR</t>
  </si>
  <si>
    <t>Minimum Cash Balance (-)</t>
  </si>
  <si>
    <t>Accounts Receivable (-)</t>
  </si>
  <si>
    <t>Income Tax Payable (+)</t>
  </si>
  <si>
    <t>Minimum Cash Balance (+)</t>
  </si>
  <si>
    <t>Accounts Receivable (+)</t>
  </si>
  <si>
    <t>Income Tax Payable (-)</t>
  </si>
  <si>
    <t>Unearned Revenue</t>
  </si>
  <si>
    <t>Operating Profit</t>
  </si>
  <si>
    <t>After Tax Income</t>
  </si>
  <si>
    <t>Current Ratio</t>
  </si>
  <si>
    <t>Return on Assets</t>
  </si>
  <si>
    <t>Return on Equity</t>
  </si>
  <si>
    <t>Debt to Equity</t>
  </si>
  <si>
    <t>RATIO ANALYSIS</t>
  </si>
  <si>
    <t>BALANCE SHEET</t>
  </si>
  <si>
    <t>INCOME STATEMENT</t>
  </si>
  <si>
    <t>ASSUMPTIONS</t>
  </si>
  <si>
    <t>Xoom Park Seven Year Forcast</t>
  </si>
  <si>
    <t>Xoom Park Seven Year Free Cash Flows</t>
  </si>
  <si>
    <t>Assumpitions Used in Calculations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</si>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</sst>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\$* #,##0_);_(\$* \(#,##0\);_(\$* \-??_);_(@_)"/>
    <numFmt numFmtId="167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</cellStyleXfs>
  <cellXfs count="61">
    <xf numFmtId="0" fontId="0" fillId="0" borderId="0" xfId="0"/>
    <xf numFmtId="0" fontId="3" fillId="0" borderId="0" xfId="4"/>
    <xf numFmtId="0" fontId="3" fillId="0" borderId="0" xfId="4" applyBorder="1"/>
    <xf numFmtId="164" fontId="3" fillId="0" borderId="0" xfId="1" applyNumberFormat="1" applyFont="1" applyBorder="1"/>
    <xf numFmtId="0" fontId="0" fillId="0" borderId="0" xfId="0" applyBorder="1"/>
    <xf numFmtId="0" fontId="0" fillId="0" borderId="4" xfId="0" applyBorder="1"/>
    <xf numFmtId="164" fontId="0" fillId="0" borderId="0" xfId="1" applyNumberFormat="1" applyFont="1" applyBorder="1"/>
    <xf numFmtId="0" fontId="1" fillId="0" borderId="0" xfId="0" applyFont="1" applyBorder="1"/>
    <xf numFmtId="0" fontId="1" fillId="0" borderId="4" xfId="0" applyFont="1" applyBorder="1"/>
    <xf numFmtId="43" fontId="0" fillId="0" borderId="0" xfId="1" applyFont="1" applyBorder="1"/>
    <xf numFmtId="0" fontId="7" fillId="0" borderId="4" xfId="0" applyFont="1" applyBorder="1"/>
    <xf numFmtId="0" fontId="8" fillId="0" borderId="4" xfId="0" applyFont="1" applyBorder="1"/>
    <xf numFmtId="0" fontId="8" fillId="0" borderId="0" xfId="0" applyFont="1" applyBorder="1"/>
    <xf numFmtId="6" fontId="8" fillId="0" borderId="0" xfId="0" applyNumberFormat="1" applyFont="1" applyBorder="1"/>
    <xf numFmtId="6" fontId="8" fillId="0" borderId="1" xfId="0" applyNumberFormat="1" applyFont="1" applyBorder="1"/>
    <xf numFmtId="9" fontId="8" fillId="0" borderId="0" xfId="0" applyNumberFormat="1" applyFont="1" applyBorder="1"/>
    <xf numFmtId="8" fontId="8" fillId="0" borderId="1" xfId="0" applyNumberFormat="1" applyFont="1" applyBorder="1"/>
    <xf numFmtId="0" fontId="7" fillId="0" borderId="0" xfId="0" applyFont="1" applyBorder="1"/>
    <xf numFmtId="44" fontId="8" fillId="0" borderId="0" xfId="2" applyFont="1" applyBorder="1"/>
    <xf numFmtId="8" fontId="8" fillId="0" borderId="0" xfId="2" applyNumberFormat="1" applyFont="1" applyBorder="1"/>
    <xf numFmtId="8" fontId="8" fillId="0" borderId="0" xfId="0" applyNumberFormat="1" applyFont="1" applyBorder="1"/>
    <xf numFmtId="10" fontId="8" fillId="0" borderId="0" xfId="3" applyNumberFormat="1" applyFont="1" applyBorder="1"/>
    <xf numFmtId="9" fontId="8" fillId="0" borderId="0" xfId="3" applyFont="1" applyBorder="1"/>
    <xf numFmtId="10" fontId="8" fillId="0" borderId="0" xfId="0" applyNumberFormat="1" applyFont="1" applyBorder="1"/>
    <xf numFmtId="1" fontId="8" fillId="0" borderId="0" xfId="0" applyNumberFormat="1" applyFont="1" applyBorder="1"/>
    <xf numFmtId="164" fontId="8" fillId="0" borderId="0" xfId="1" applyNumberFormat="1" applyFont="1" applyBorder="1"/>
    <xf numFmtId="6" fontId="8" fillId="0" borderId="2" xfId="0" applyNumberFormat="1" applyFont="1" applyBorder="1"/>
    <xf numFmtId="0" fontId="8" fillId="0" borderId="1" xfId="0" applyFont="1" applyBorder="1"/>
    <xf numFmtId="43" fontId="8" fillId="0" borderId="0" xfId="0" applyNumberFormat="1" applyFont="1" applyBorder="1"/>
    <xf numFmtId="164" fontId="8" fillId="0" borderId="1" xfId="1" applyNumberFormat="1" applyFont="1" applyBorder="1"/>
    <xf numFmtId="43" fontId="8" fillId="0" borderId="0" xfId="1" applyFont="1" applyBorder="1"/>
    <xf numFmtId="43" fontId="8" fillId="0" borderId="1" xfId="0" applyNumberFormat="1" applyFont="1" applyBorder="1"/>
    <xf numFmtId="8" fontId="8" fillId="0" borderId="3" xfId="0" applyNumberFormat="1" applyFont="1" applyBorder="1"/>
    <xf numFmtId="0" fontId="9" fillId="0" borderId="4" xfId="4" applyFont="1" applyBorder="1"/>
    <xf numFmtId="0" fontId="10" fillId="0" borderId="4" xfId="4" applyFont="1" applyBorder="1"/>
    <xf numFmtId="0" fontId="10" fillId="0" borderId="0" xfId="4" applyFont="1"/>
    <xf numFmtId="0" fontId="10" fillId="0" borderId="0" xfId="4" applyFont="1" applyBorder="1"/>
    <xf numFmtId="43" fontId="10" fillId="0" borderId="0" xfId="4" applyNumberFormat="1" applyFont="1"/>
    <xf numFmtId="9" fontId="10" fillId="0" borderId="0" xfId="4" applyNumberFormat="1" applyFont="1"/>
    <xf numFmtId="165" fontId="10" fillId="0" borderId="0" xfId="3" applyNumberFormat="1" applyFont="1" applyFill="1" applyBorder="1" applyAlignment="1" applyProtection="1"/>
    <xf numFmtId="10" fontId="10" fillId="0" borderId="0" xfId="3" applyNumberFormat="1" applyFont="1" applyFill="1" applyBorder="1" applyAlignment="1" applyProtection="1"/>
    <xf numFmtId="164" fontId="10" fillId="0" borderId="0" xfId="1" applyNumberFormat="1" applyFont="1" applyBorder="1"/>
    <xf numFmtId="9" fontId="10" fillId="0" borderId="0" xfId="3" applyFont="1" applyBorder="1"/>
    <xf numFmtId="9" fontId="10" fillId="0" borderId="0" xfId="4" applyNumberFormat="1" applyFont="1" applyBorder="1"/>
    <xf numFmtId="0" fontId="9" fillId="0" borderId="1" xfId="4" applyFont="1" applyBorder="1"/>
    <xf numFmtId="0" fontId="9" fillId="0" borderId="0" xfId="4" applyFont="1" applyBorder="1"/>
    <xf numFmtId="166" fontId="10" fillId="0" borderId="0" xfId="4" applyNumberFormat="1" applyFont="1" applyBorder="1"/>
    <xf numFmtId="166" fontId="10" fillId="0" borderId="1" xfId="4" applyNumberFormat="1" applyFont="1" applyBorder="1"/>
    <xf numFmtId="166" fontId="10" fillId="0" borderId="0" xfId="2" applyNumberFormat="1" applyFont="1" applyFill="1" applyBorder="1" applyAlignment="1" applyProtection="1"/>
    <xf numFmtId="0" fontId="8" fillId="0" borderId="0" xfId="0" applyFont="1"/>
    <xf numFmtId="167" fontId="8" fillId="0" borderId="0" xfId="1" applyNumberFormat="1" applyFont="1" applyBorder="1"/>
    <xf numFmtId="0" fontId="9" fillId="0" borderId="0" xfId="4" applyFont="1" applyBorder="1" applyAlignment="1">
      <alignment vertical="top" wrapText="1"/>
    </xf>
    <xf numFmtId="16" fontId="0" fillId="0" borderId="0" xfId="0" applyNumberFormat="1" applyBorder="1"/>
    <xf numFmtId="43" fontId="0" fillId="0" borderId="0" xfId="1" applyNumberFormat="1" applyFont="1" applyBorder="1"/>
    <xf numFmtId="164" fontId="1" fillId="0" borderId="0" xfId="1" applyNumberFormat="1" applyFont="1" applyBorder="1"/>
    <xf numFmtId="0" fontId="6" fillId="2" borderId="0" xfId="5" applyFont="1" applyBorder="1" applyAlignment="1">
      <alignment horizontal="center"/>
    </xf>
    <xf numFmtId="0" fontId="6" fillId="2" borderId="5" xfId="5" applyFont="1" applyBorder="1" applyAlignment="1">
      <alignment horizontal="center"/>
    </xf>
    <xf numFmtId="0" fontId="5" fillId="2" borderId="0" xfId="5" applyFont="1" applyBorder="1" applyAlignment="1">
      <alignment horizontal="center" vertical="center"/>
    </xf>
    <xf numFmtId="0" fontId="5" fillId="2" borderId="5" xfId="5" applyFont="1" applyBorder="1" applyAlignment="1">
      <alignment horizontal="center" vertical="center"/>
    </xf>
    <xf numFmtId="0" fontId="6" fillId="2" borderId="0" xfId="5" applyFont="1" applyBorder="1" applyAlignment="1">
      <alignment horizontal="center" vertical="center"/>
    </xf>
    <xf numFmtId="0" fontId="6" fillId="2" borderId="5" xfId="5" applyFont="1" applyBorder="1" applyAlignment="1">
      <alignment horizontal="center" vertical="center"/>
    </xf>
  </cellXfs>
  <cellStyles count="6">
    <cellStyle name="Accent6" xfId="5" builtinId="49"/>
    <cellStyle name="Comma" xfId="1" builtinId="3"/>
    <cellStyle name="Currency" xfId="2" builtinId="4"/>
    <cellStyle name="Excel Built-in Normal" xfId="4"/>
    <cellStyle name="Normal" xfId="0" builtinId="0"/>
    <cellStyle name="Percent" xfId="3" builtinId="5"/>
  </cellStyles>
  <dxfs count="123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border diagonalUp="0" diagonalDown="0" outline="0">
        <left/>
        <right/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</font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font>
        <strike val="0"/>
        <outline val="0"/>
        <shadow val="0"/>
        <u val="none"/>
        <vertAlign val="baseline"/>
        <sz val="12"/>
        <name val="Calibri"/>
      </font>
    </dxf>
    <dxf>
      <font>
        <strike val="0"/>
        <outline val="0"/>
        <shadow val="0"/>
        <u val="none"/>
        <vertAlign val="baseline"/>
        <sz val="12"/>
        <name val="Calibri"/>
      </font>
      <numFmt numFmtId="10" formatCode="&quot;$&quot;#,##0_);[Red]\(&quot;$&quot;#,##0\)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  <numFmt numFmtId="10" formatCode="&quot;$&quot;#,##0_);[Red]\(&quot;$&quot;#,##0\)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  <numFmt numFmtId="10" formatCode="&quot;$&quot;#,##0_);[Red]\(&quot;$&quot;#,##0\)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  <numFmt numFmtId="10" formatCode="&quot;$&quot;#,##0_);[Red]\(&quot;$&quot;#,##0\)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  <numFmt numFmtId="10" formatCode="&quot;$&quot;#,##0_);[Red]\(&quot;$&quot;#,##0\)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  <numFmt numFmtId="10" formatCode="&quot;$&quot;#,##0_);[Red]\(&quot;$&quot;#,##0\)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  <numFmt numFmtId="10" formatCode="&quot;$&quot;#,##0_);[Red]\(&quot;$&quot;#,##0\)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font>
        <strike val="0"/>
        <outline val="0"/>
        <shadow val="0"/>
        <u val="none"/>
        <vertAlign val="baseline"/>
        <sz val="12"/>
        <name val="Calibri"/>
      </font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</font>
    </dxf>
    <dxf>
      <font>
        <strike val="0"/>
        <outline val="0"/>
        <shadow val="0"/>
        <u val="none"/>
        <vertAlign val="baseline"/>
        <sz val="12"/>
        <name val="Calibri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0" name="Table10" displayName="Table10" ref="A5:H39" headerRowCount="0" totalsRowShown="0" tableBorderDxfId="122">
  <tableColumns count="8">
    <tableColumn id="1" name="Column1" headerRowDxfId="121"/>
    <tableColumn id="2" name="Column2" headerRowDxfId="120"/>
    <tableColumn id="3" name="Column3" headerRowDxfId="119"/>
    <tableColumn id="4" name="Column4" headerRowDxfId="118"/>
    <tableColumn id="6" name="Column6" headerRowDxfId="117"/>
    <tableColumn id="7" name="Column7" headerRowDxfId="116"/>
    <tableColumn id="8" name="Column8" headerRowDxfId="115" dataDxfId="114" dataCellStyle="Comma"/>
    <tableColumn id="9" name="Column9" headerRowDxfId="113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4:I21" headerRowCount="0" totalsRowShown="0" headerRowDxfId="112" dataDxfId="111" tableBorderDxfId="110">
  <tableColumns count="9">
    <tableColumn id="1" name="Column1" headerRowDxfId="109" dataDxfId="108"/>
    <tableColumn id="2" name="Column2" headerRowDxfId="107" dataDxfId="106"/>
    <tableColumn id="3" name="Column3" headerRowDxfId="105" dataDxfId="104"/>
    <tableColumn id="4" name="Column4" headerRowDxfId="103" dataDxfId="102"/>
    <tableColumn id="5" name="Column5" headerRowDxfId="101" dataDxfId="100"/>
    <tableColumn id="6" name="Column6" headerRowDxfId="99" dataDxfId="98"/>
    <tableColumn id="7" name="Column7" headerRowDxfId="97" dataDxfId="96"/>
    <tableColumn id="8" name="Column8" headerRowDxfId="95" dataDxfId="94"/>
    <tableColumn id="9" name="Column9" headerRowDxfId="93" dataDxfId="92"/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23:I36" headerRowCount="0" totalsRowShown="0" headerRowDxfId="91" dataDxfId="90" tableBorderDxfId="89">
  <tableColumns count="9">
    <tableColumn id="1" name="Column1" headerRowDxfId="88" dataDxfId="87"/>
    <tableColumn id="2" name="Column2" headerRowDxfId="86" dataDxfId="85"/>
    <tableColumn id="3" name="Column3" headerRowDxfId="84" dataDxfId="83"/>
    <tableColumn id="4" name="Column4" headerRowDxfId="82" dataDxfId="81"/>
    <tableColumn id="5" name="Column5" headerRowDxfId="80" dataDxfId="79"/>
    <tableColumn id="6" name="Column6" headerRowDxfId="78" dataDxfId="77"/>
    <tableColumn id="7" name="Column7" headerRowDxfId="76" dataDxfId="75"/>
    <tableColumn id="8" name="Column8" headerRowDxfId="74" dataDxfId="73"/>
    <tableColumn id="9" name="Column9" headerRowDxfId="72" dataDxfId="71"/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38:I62" headerRowCount="0" totalsRowShown="0" headerRowDxfId="70" dataDxfId="69" tableBorderDxfId="68">
  <tableColumns count="9">
    <tableColumn id="1" name="Column1" headerRowDxfId="67" dataDxfId="66"/>
    <tableColumn id="2" name="Column2" headerRowDxfId="65" dataDxfId="64"/>
    <tableColumn id="3" name="Column3" headerRowDxfId="63" dataDxfId="62"/>
    <tableColumn id="4" name="Column4" headerRowDxfId="61" dataDxfId="60"/>
    <tableColumn id="5" name="Column5" headerRowDxfId="59" dataDxfId="58"/>
    <tableColumn id="6" name="Column6" headerRowDxfId="57" dataDxfId="56"/>
    <tableColumn id="7" name="Column7" headerRowDxfId="55" dataDxfId="54"/>
    <tableColumn id="8" name="Column8" headerRowDxfId="53" dataDxfId="52"/>
    <tableColumn id="9" name="Column9" headerRowDxfId="51" dataDxfId="50"/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A64:I69" headerRowCount="0" totalsRowShown="0" headerRowDxfId="49" dataDxfId="48" tableBorderDxfId="47" dataCellStyle="Percent">
  <tableColumns count="9">
    <tableColumn id="1" name="Column1" headerRowDxfId="46" dataDxfId="45"/>
    <tableColumn id="2" name="Column2" headerRowDxfId="44" dataDxfId="43"/>
    <tableColumn id="3" name="Column3" headerRowDxfId="42" dataDxfId="41" dataCellStyle="Percent"/>
    <tableColumn id="4" name="Column4" headerRowDxfId="40" dataDxfId="39" dataCellStyle="Percent"/>
    <tableColumn id="5" name="Column5" headerRowDxfId="38" dataDxfId="37" dataCellStyle="Percent"/>
    <tableColumn id="6" name="Column6" headerRowDxfId="36" dataDxfId="35" dataCellStyle="Percent"/>
    <tableColumn id="7" name="Column7" headerRowDxfId="34" dataDxfId="33" dataCellStyle="Percent"/>
    <tableColumn id="8" name="Column8" headerRowDxfId="32" dataDxfId="31" dataCellStyle="Percent"/>
    <tableColumn id="9" name="Column9" headerRowDxfId="30" dataDxfId="29" dataCellStyle="Percent"/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A71:E118" headerRowCount="0" totalsRowShown="0" tableBorderDxfId="28" headerRowCellStyle="Excel Built-in Normal">
  <tableColumns count="5">
    <tableColumn id="1" name="Column1" headerRowDxfId="27" headerRowCellStyle="Excel Built-in Normal"/>
    <tableColumn id="2" name="Column2" headerRowDxfId="26" headerRowCellStyle="Excel Built-in Normal"/>
    <tableColumn id="3" name="Column3" headerRowDxfId="25" headerRowCellStyle="Excel Built-in Normal"/>
    <tableColumn id="4" name="Column4" headerRowDxfId="24" headerRowCellStyle="Excel Built-in Normal"/>
    <tableColumn id="5" name="Column5" headerRowDxfId="23" headerRowCellStyle="Excel Built-in Normal"/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A6:J38" headerRowCount="0" totalsRowShown="0" headerRowDxfId="22" dataDxfId="21" tableBorderDxfId="20">
  <tableColumns count="10">
    <tableColumn id="1" name="Column1" headerRowDxfId="19" dataDxfId="18"/>
    <tableColumn id="2" name="Column2" headerRowDxfId="17" dataDxfId="16"/>
    <tableColumn id="3" name="Column3" headerRowDxfId="15" dataDxfId="14"/>
    <tableColumn id="4" name="Column4" headerRowDxfId="13" dataDxfId="12"/>
    <tableColumn id="5" name="Column5" headerRowDxfId="11" dataDxfId="10"/>
    <tableColumn id="6" name="Column6" headerRowDxfId="9" dataDxfId="8"/>
    <tableColumn id="7" name="Column7" headerRowDxfId="7" dataDxfId="6"/>
    <tableColumn id="8" name="Column8" headerRowDxfId="5" dataDxfId="4"/>
    <tableColumn id="9" name="Column9" headerRowDxfId="3" dataDxfId="2"/>
    <tableColumn id="10" name="Column10" headerRowDxfId="1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workbookViewId="0">
      <selection activeCell="J4" sqref="J4"/>
    </sheetView>
  </sheetViews>
  <sheetFormatPr defaultRowHeight="15" x14ac:dyDescent="0.25"/>
  <cols>
    <col min="1" max="1" width="25.28515625" bestFit="1" customWidth="1"/>
    <col min="2" max="2" width="31.42578125" bestFit="1" customWidth="1"/>
    <col min="3" max="3" width="17" bestFit="1" customWidth="1"/>
    <col min="4" max="4" width="25.5703125" bestFit="1" customWidth="1"/>
    <col min="5" max="5" width="11.28515625" bestFit="1" customWidth="1"/>
    <col min="6" max="6" width="14.85546875" bestFit="1" customWidth="1"/>
    <col min="7" max="7" width="12.85546875" bestFit="1" customWidth="1"/>
    <col min="8" max="8" width="11" customWidth="1"/>
  </cols>
  <sheetData>
    <row r="2" spans="1:8" x14ac:dyDescent="0.25">
      <c r="B2" s="55" t="s">
        <v>147</v>
      </c>
      <c r="C2" s="55"/>
      <c r="D2" s="55"/>
      <c r="E2" s="55"/>
      <c r="F2" s="55"/>
    </row>
    <row r="3" spans="1:8" ht="15.75" thickBot="1" x14ac:dyDescent="0.3">
      <c r="B3" s="56"/>
      <c r="C3" s="56"/>
      <c r="D3" s="56"/>
      <c r="E3" s="56"/>
      <c r="F3" s="56"/>
    </row>
    <row r="4" spans="1:8" ht="16.5" thickTop="1" thickBot="1" x14ac:dyDescent="0.3"/>
    <row r="5" spans="1:8" x14ac:dyDescent="0.25">
      <c r="A5" s="5"/>
      <c r="B5" s="8" t="s">
        <v>0</v>
      </c>
      <c r="C5" s="5" t="s">
        <v>33</v>
      </c>
      <c r="D5" s="5" t="s">
        <v>34</v>
      </c>
      <c r="E5" s="5" t="s">
        <v>35</v>
      </c>
      <c r="F5" s="5" t="s">
        <v>46</v>
      </c>
      <c r="G5" s="5" t="s">
        <v>45</v>
      </c>
      <c r="H5" s="5"/>
    </row>
    <row r="6" spans="1:8" x14ac:dyDescent="0.25">
      <c r="A6" s="4"/>
      <c r="B6" s="4" t="s">
        <v>1</v>
      </c>
      <c r="C6" s="4">
        <v>0</v>
      </c>
      <c r="D6" s="4"/>
      <c r="E6" s="4"/>
      <c r="F6" s="4"/>
      <c r="G6" s="4">
        <f t="shared" ref="G6:G36" si="0">C6*D6</f>
        <v>0</v>
      </c>
      <c r="H6" s="4"/>
    </row>
    <row r="7" spans="1:8" x14ac:dyDescent="0.25">
      <c r="A7" s="4"/>
      <c r="B7" s="4" t="s">
        <v>2</v>
      </c>
      <c r="C7" s="4">
        <v>0</v>
      </c>
      <c r="D7" s="4"/>
      <c r="E7" s="4"/>
      <c r="F7" s="4"/>
      <c r="G7" s="4">
        <f t="shared" si="0"/>
        <v>0</v>
      </c>
      <c r="H7" s="4"/>
    </row>
    <row r="8" spans="1:8" x14ac:dyDescent="0.25">
      <c r="A8" s="4"/>
      <c r="B8" s="4" t="s">
        <v>3</v>
      </c>
      <c r="C8" s="4">
        <v>0</v>
      </c>
      <c r="D8" s="4"/>
      <c r="E8" s="4"/>
      <c r="F8" s="4"/>
      <c r="G8" s="4">
        <f t="shared" si="0"/>
        <v>0</v>
      </c>
      <c r="H8" s="4"/>
    </row>
    <row r="9" spans="1:8" x14ac:dyDescent="0.25">
      <c r="A9" s="4"/>
      <c r="B9" s="4" t="s">
        <v>4</v>
      </c>
      <c r="C9" s="4">
        <v>0</v>
      </c>
      <c r="D9" s="4"/>
      <c r="E9" s="4"/>
      <c r="F9" s="4"/>
      <c r="G9" s="4">
        <f t="shared" si="0"/>
        <v>0</v>
      </c>
      <c r="H9" s="4"/>
    </row>
    <row r="10" spans="1:8" x14ac:dyDescent="0.25">
      <c r="A10" s="4"/>
      <c r="B10" s="4" t="s">
        <v>5</v>
      </c>
      <c r="C10" s="4">
        <v>0</v>
      </c>
      <c r="D10" s="4"/>
      <c r="E10" s="4"/>
      <c r="F10" s="4"/>
      <c r="G10" s="4">
        <f t="shared" si="0"/>
        <v>0</v>
      </c>
      <c r="H10" s="4"/>
    </row>
    <row r="11" spans="1:8" x14ac:dyDescent="0.25">
      <c r="A11" s="4"/>
      <c r="B11" s="4" t="s">
        <v>6</v>
      </c>
      <c r="C11" s="4">
        <v>0</v>
      </c>
      <c r="D11" s="4"/>
      <c r="E11" s="4"/>
      <c r="F11" s="4"/>
      <c r="G11" s="4">
        <f t="shared" si="0"/>
        <v>0</v>
      </c>
      <c r="H11" s="4"/>
    </row>
    <row r="12" spans="1:8" x14ac:dyDescent="0.25">
      <c r="A12" s="4"/>
      <c r="B12" s="4" t="s">
        <v>7</v>
      </c>
      <c r="C12" s="4">
        <v>0</v>
      </c>
      <c r="D12" s="4"/>
      <c r="E12" s="4"/>
      <c r="F12" s="4"/>
      <c r="G12" s="4">
        <f t="shared" si="0"/>
        <v>0</v>
      </c>
      <c r="H12" s="4"/>
    </row>
    <row r="13" spans="1:8" x14ac:dyDescent="0.25">
      <c r="A13" s="4"/>
      <c r="B13" s="4" t="s">
        <v>8</v>
      </c>
      <c r="C13" s="4">
        <v>0</v>
      </c>
      <c r="D13" s="4"/>
      <c r="E13" s="4"/>
      <c r="F13" s="4"/>
      <c r="G13" s="4">
        <f t="shared" si="0"/>
        <v>0</v>
      </c>
      <c r="H13" s="4"/>
    </row>
    <row r="14" spans="1:8" x14ac:dyDescent="0.25">
      <c r="A14" s="4"/>
      <c r="B14" s="4" t="s">
        <v>9</v>
      </c>
      <c r="C14" s="4">
        <v>0</v>
      </c>
      <c r="D14" s="4"/>
      <c r="E14" s="4"/>
      <c r="F14" s="4"/>
      <c r="G14" s="4">
        <f t="shared" si="0"/>
        <v>0</v>
      </c>
      <c r="H14" s="4"/>
    </row>
    <row r="15" spans="1:8" x14ac:dyDescent="0.25">
      <c r="A15" s="4"/>
      <c r="B15" s="4" t="s">
        <v>10</v>
      </c>
      <c r="C15" s="4">
        <v>0</v>
      </c>
      <c r="D15" s="4"/>
      <c r="E15" s="4"/>
      <c r="F15" s="4"/>
      <c r="G15" s="4">
        <f t="shared" si="0"/>
        <v>0</v>
      </c>
      <c r="H15" s="4"/>
    </row>
    <row r="16" spans="1:8" x14ac:dyDescent="0.25">
      <c r="A16" s="4"/>
      <c r="B16" s="4" t="s">
        <v>11</v>
      </c>
      <c r="C16" s="4">
        <v>0</v>
      </c>
      <c r="D16" s="4"/>
      <c r="E16" s="4"/>
      <c r="F16" s="4"/>
      <c r="G16" s="4">
        <f t="shared" si="0"/>
        <v>0</v>
      </c>
      <c r="H16" s="4"/>
    </row>
    <row r="17" spans="1:8" x14ac:dyDescent="0.25">
      <c r="A17" s="4"/>
      <c r="B17" s="4" t="s">
        <v>12</v>
      </c>
      <c r="C17" s="4">
        <v>0</v>
      </c>
      <c r="D17" s="4"/>
      <c r="E17" s="4"/>
      <c r="F17" s="4"/>
      <c r="G17" s="4">
        <f t="shared" si="0"/>
        <v>0</v>
      </c>
      <c r="H17" s="4"/>
    </row>
    <row r="18" spans="1:8" x14ac:dyDescent="0.25">
      <c r="A18" s="4"/>
      <c r="B18" s="4" t="s">
        <v>13</v>
      </c>
      <c r="C18" s="4">
        <v>0</v>
      </c>
      <c r="D18" s="4"/>
      <c r="E18" s="4"/>
      <c r="F18" s="4"/>
      <c r="G18" s="4">
        <f t="shared" si="0"/>
        <v>0</v>
      </c>
      <c r="H18" s="4"/>
    </row>
    <row r="19" spans="1:8" x14ac:dyDescent="0.25">
      <c r="A19" s="4"/>
      <c r="B19" s="4" t="s">
        <v>14</v>
      </c>
      <c r="C19" s="4">
        <v>0</v>
      </c>
      <c r="D19" s="4"/>
      <c r="E19" s="4"/>
      <c r="F19" s="4"/>
      <c r="G19" s="4">
        <f t="shared" si="0"/>
        <v>0</v>
      </c>
      <c r="H19" s="4"/>
    </row>
    <row r="20" spans="1:8" x14ac:dyDescent="0.25">
      <c r="A20" s="4"/>
      <c r="B20" s="4" t="s">
        <v>15</v>
      </c>
      <c r="C20" s="4">
        <v>0</v>
      </c>
      <c r="D20" s="4"/>
      <c r="E20" s="4"/>
      <c r="F20" s="4"/>
      <c r="G20" s="4">
        <f t="shared" si="0"/>
        <v>0</v>
      </c>
      <c r="H20" s="4"/>
    </row>
    <row r="21" spans="1:8" x14ac:dyDescent="0.25">
      <c r="A21" s="4"/>
      <c r="B21" s="4" t="s">
        <v>16</v>
      </c>
      <c r="C21" s="4">
        <v>1</v>
      </c>
      <c r="D21" s="4">
        <v>23</v>
      </c>
      <c r="E21" s="52">
        <v>41153</v>
      </c>
      <c r="F21" s="9">
        <v>0.5</v>
      </c>
      <c r="G21" s="6">
        <f t="shared" si="0"/>
        <v>23</v>
      </c>
      <c r="H21" s="6">
        <f>G21/F21</f>
        <v>46</v>
      </c>
    </row>
    <row r="22" spans="1:8" x14ac:dyDescent="0.25">
      <c r="A22" s="4"/>
      <c r="B22" s="4" t="s">
        <v>17</v>
      </c>
      <c r="C22" s="4">
        <v>0</v>
      </c>
      <c r="D22" s="4"/>
      <c r="E22" s="4"/>
      <c r="F22" s="9"/>
      <c r="G22" s="6">
        <f t="shared" si="0"/>
        <v>0</v>
      </c>
      <c r="H22" s="6"/>
    </row>
    <row r="23" spans="1:8" x14ac:dyDescent="0.25">
      <c r="A23" s="4"/>
      <c r="B23" s="4" t="s">
        <v>18</v>
      </c>
      <c r="C23" s="4">
        <v>11</v>
      </c>
      <c r="D23" s="4">
        <v>31</v>
      </c>
      <c r="E23" s="4" t="s">
        <v>36</v>
      </c>
      <c r="F23" s="9">
        <f>1/3</f>
        <v>0.33333333333333331</v>
      </c>
      <c r="G23" s="6">
        <f t="shared" si="0"/>
        <v>341</v>
      </c>
      <c r="H23" s="6">
        <f t="shared" ref="H23:H35" si="1">G23/F23</f>
        <v>1023</v>
      </c>
    </row>
    <row r="24" spans="1:8" x14ac:dyDescent="0.25">
      <c r="A24" s="4"/>
      <c r="B24" s="4" t="s">
        <v>19</v>
      </c>
      <c r="C24" s="4">
        <v>0</v>
      </c>
      <c r="D24" s="4"/>
      <c r="E24" s="4"/>
      <c r="F24" s="9"/>
      <c r="G24" s="6">
        <f t="shared" si="0"/>
        <v>0</v>
      </c>
      <c r="H24" s="6"/>
    </row>
    <row r="25" spans="1:8" x14ac:dyDescent="0.25">
      <c r="A25" s="4"/>
      <c r="B25" s="4" t="s">
        <v>20</v>
      </c>
      <c r="C25" s="4">
        <v>21</v>
      </c>
      <c r="D25" s="4">
        <v>50</v>
      </c>
      <c r="E25" s="4" t="s">
        <v>37</v>
      </c>
      <c r="F25" s="9">
        <v>0.5</v>
      </c>
      <c r="G25" s="6">
        <f t="shared" si="0"/>
        <v>1050</v>
      </c>
      <c r="H25" s="6">
        <f t="shared" si="1"/>
        <v>2100</v>
      </c>
    </row>
    <row r="26" spans="1:8" x14ac:dyDescent="0.25">
      <c r="A26" s="4"/>
      <c r="B26" s="4" t="s">
        <v>21</v>
      </c>
      <c r="C26" s="4">
        <v>32</v>
      </c>
      <c r="D26" s="4">
        <v>50</v>
      </c>
      <c r="E26" s="4" t="s">
        <v>38</v>
      </c>
      <c r="F26" s="9">
        <v>0.5</v>
      </c>
      <c r="G26" s="6">
        <f t="shared" si="0"/>
        <v>1600</v>
      </c>
      <c r="H26" s="6">
        <f t="shared" si="1"/>
        <v>3200</v>
      </c>
    </row>
    <row r="27" spans="1:8" x14ac:dyDescent="0.25">
      <c r="A27" s="4"/>
      <c r="B27" s="4" t="s">
        <v>22</v>
      </c>
      <c r="C27" s="4">
        <v>8</v>
      </c>
      <c r="D27" s="4">
        <v>50</v>
      </c>
      <c r="E27" s="4" t="s">
        <v>39</v>
      </c>
      <c r="F27" s="9">
        <v>0.5</v>
      </c>
      <c r="G27" s="6">
        <f t="shared" si="0"/>
        <v>400</v>
      </c>
      <c r="H27" s="6">
        <f t="shared" si="1"/>
        <v>800</v>
      </c>
    </row>
    <row r="28" spans="1:8" x14ac:dyDescent="0.25">
      <c r="A28" s="4"/>
      <c r="B28" s="4" t="s">
        <v>23</v>
      </c>
      <c r="C28" s="4">
        <v>45</v>
      </c>
      <c r="D28" s="4">
        <v>50</v>
      </c>
      <c r="E28" s="4" t="s">
        <v>40</v>
      </c>
      <c r="F28" s="9">
        <f>1/3</f>
        <v>0.33333333333333331</v>
      </c>
      <c r="G28" s="6">
        <f t="shared" si="0"/>
        <v>2250</v>
      </c>
      <c r="H28" s="6">
        <f t="shared" si="1"/>
        <v>6750</v>
      </c>
    </row>
    <row r="29" spans="1:8" x14ac:dyDescent="0.25">
      <c r="A29" s="4"/>
      <c r="B29" s="4" t="s">
        <v>24</v>
      </c>
      <c r="C29" s="4">
        <v>0</v>
      </c>
      <c r="D29" s="4"/>
      <c r="E29" s="4"/>
      <c r="F29" s="9"/>
      <c r="G29" s="6">
        <f t="shared" si="0"/>
        <v>0</v>
      </c>
      <c r="H29" s="6"/>
    </row>
    <row r="30" spans="1:8" x14ac:dyDescent="0.25">
      <c r="A30" s="4"/>
      <c r="B30" s="4" t="s">
        <v>25</v>
      </c>
      <c r="C30" s="4">
        <v>51</v>
      </c>
      <c r="D30" s="4">
        <v>150</v>
      </c>
      <c r="E30" s="4" t="s">
        <v>41</v>
      </c>
      <c r="F30" s="9">
        <f>1/3</f>
        <v>0.33333333333333331</v>
      </c>
      <c r="G30" s="6">
        <f t="shared" si="0"/>
        <v>7650</v>
      </c>
      <c r="H30" s="6">
        <f t="shared" si="1"/>
        <v>22950</v>
      </c>
    </row>
    <row r="31" spans="1:8" x14ac:dyDescent="0.25">
      <c r="A31" s="4"/>
      <c r="B31" s="4" t="s">
        <v>26</v>
      </c>
      <c r="C31" s="4">
        <v>0</v>
      </c>
      <c r="D31" s="4"/>
      <c r="E31" s="4"/>
      <c r="F31" s="9"/>
      <c r="G31" s="6">
        <f t="shared" si="0"/>
        <v>0</v>
      </c>
      <c r="H31" s="6"/>
    </row>
    <row r="32" spans="1:8" x14ac:dyDescent="0.25">
      <c r="A32" s="4"/>
      <c r="B32" s="4" t="s">
        <v>27</v>
      </c>
      <c r="C32" s="4">
        <v>7</v>
      </c>
      <c r="D32" s="4">
        <v>35</v>
      </c>
      <c r="E32" s="4" t="s">
        <v>42</v>
      </c>
      <c r="F32" s="9">
        <v>0.5</v>
      </c>
      <c r="G32" s="6">
        <f t="shared" si="0"/>
        <v>245</v>
      </c>
      <c r="H32" s="6">
        <f t="shared" si="1"/>
        <v>490</v>
      </c>
    </row>
    <row r="33" spans="1:8" x14ac:dyDescent="0.25">
      <c r="A33" s="4"/>
      <c r="B33" s="4" t="s">
        <v>28</v>
      </c>
      <c r="C33" s="4">
        <v>0</v>
      </c>
      <c r="D33" s="4"/>
      <c r="E33" s="4"/>
      <c r="F33" s="9"/>
      <c r="G33" s="6">
        <f t="shared" si="0"/>
        <v>0</v>
      </c>
      <c r="H33" s="6"/>
    </row>
    <row r="34" spans="1:8" x14ac:dyDescent="0.25">
      <c r="A34" s="4"/>
      <c r="B34" s="4" t="s">
        <v>29</v>
      </c>
      <c r="C34" s="4">
        <v>34</v>
      </c>
      <c r="D34" s="4">
        <v>100</v>
      </c>
      <c r="E34" s="4" t="s">
        <v>43</v>
      </c>
      <c r="F34" s="9">
        <v>0.5</v>
      </c>
      <c r="G34" s="6">
        <f t="shared" si="0"/>
        <v>3400</v>
      </c>
      <c r="H34" s="6">
        <f t="shared" si="1"/>
        <v>6800</v>
      </c>
    </row>
    <row r="35" spans="1:8" x14ac:dyDescent="0.25">
      <c r="A35" s="4"/>
      <c r="B35" s="4" t="s">
        <v>30</v>
      </c>
      <c r="C35" s="4">
        <v>59</v>
      </c>
      <c r="D35" s="4">
        <v>100</v>
      </c>
      <c r="E35" s="4" t="s">
        <v>44</v>
      </c>
      <c r="F35" s="9">
        <f>1/3</f>
        <v>0.33333333333333331</v>
      </c>
      <c r="G35" s="6">
        <f t="shared" si="0"/>
        <v>5900</v>
      </c>
      <c r="H35" s="6">
        <f t="shared" si="1"/>
        <v>17700</v>
      </c>
    </row>
    <row r="36" spans="1:8" x14ac:dyDescent="0.25">
      <c r="A36" s="4"/>
      <c r="B36" s="4" t="s">
        <v>31</v>
      </c>
      <c r="C36" s="4">
        <v>46</v>
      </c>
      <c r="D36" s="4">
        <v>0</v>
      </c>
      <c r="E36" s="4"/>
      <c r="F36" s="4"/>
      <c r="G36" s="6">
        <f t="shared" si="0"/>
        <v>0</v>
      </c>
      <c r="H36" s="6"/>
    </row>
    <row r="37" spans="1:8" x14ac:dyDescent="0.25">
      <c r="A37" s="7" t="s">
        <v>32</v>
      </c>
      <c r="B37" s="7">
        <f>COUNTA(B6:B36)</f>
        <v>31</v>
      </c>
      <c r="C37" s="4">
        <f>SUM(C6:C36)</f>
        <v>315</v>
      </c>
      <c r="D37" s="4"/>
      <c r="E37" s="4"/>
      <c r="F37" s="4"/>
      <c r="G37" s="6"/>
      <c r="H37" s="54">
        <f>SUM(H6:H36)</f>
        <v>61859</v>
      </c>
    </row>
    <row r="38" spans="1:8" x14ac:dyDescent="0.25">
      <c r="A38" s="7"/>
      <c r="B38" s="7"/>
      <c r="C38" s="53">
        <f>C37/B37</f>
        <v>10.161290322580646</v>
      </c>
      <c r="D38" s="4"/>
      <c r="E38" s="4"/>
      <c r="F38" s="4"/>
      <c r="G38" s="4"/>
      <c r="H38" s="4"/>
    </row>
    <row r="39" spans="1:8" x14ac:dyDescent="0.25">
      <c r="A39" s="4" t="s">
        <v>47</v>
      </c>
      <c r="B39" s="6">
        <f>H37/B37</f>
        <v>1995.4516129032259</v>
      </c>
      <c r="C39" s="4"/>
      <c r="D39" s="4"/>
      <c r="E39" s="4"/>
      <c r="F39" s="4"/>
      <c r="G39" s="4"/>
      <c r="H39" s="4"/>
    </row>
  </sheetData>
  <mergeCells count="1">
    <mergeCell ref="B2:F3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tabSelected="1" zoomScaleNormal="100" workbookViewId="0">
      <selection activeCell="G9" sqref="G9"/>
    </sheetView>
  </sheetViews>
  <sheetFormatPr defaultRowHeight="15" x14ac:dyDescent="0.25"/>
  <cols>
    <col min="1" max="1" width="38" customWidth="1"/>
    <col min="2" max="2" width="11" customWidth="1"/>
    <col min="3" max="8" width="14.28515625" bestFit="1" customWidth="1"/>
    <col min="9" max="9" width="16.85546875" bestFit="1" customWidth="1"/>
  </cols>
  <sheetData>
    <row r="1" spans="1:9" x14ac:dyDescent="0.25">
      <c r="C1" s="57" t="s">
        <v>145</v>
      </c>
      <c r="D1" s="57"/>
      <c r="E1" s="57"/>
      <c r="F1" s="57"/>
    </row>
    <row r="2" spans="1:9" ht="15.75" thickBot="1" x14ac:dyDescent="0.3">
      <c r="C2" s="58"/>
      <c r="D2" s="58"/>
      <c r="E2" s="58"/>
      <c r="F2" s="58"/>
    </row>
    <row r="3" spans="1:9" ht="16.5" thickTop="1" thickBot="1" x14ac:dyDescent="0.3"/>
    <row r="4" spans="1:9" ht="15.75" x14ac:dyDescent="0.25">
      <c r="A4" s="10" t="s">
        <v>144</v>
      </c>
      <c r="B4" s="11"/>
      <c r="C4" s="11"/>
      <c r="D4" s="11"/>
      <c r="E4" s="11"/>
      <c r="F4" s="11"/>
      <c r="G4" s="11"/>
      <c r="H4" s="11"/>
      <c r="I4" s="11"/>
    </row>
    <row r="5" spans="1:9" ht="15.75" x14ac:dyDescent="0.25">
      <c r="A5" s="12" t="s">
        <v>48</v>
      </c>
      <c r="B5" s="12"/>
      <c r="C5" s="23">
        <v>0.15</v>
      </c>
      <c r="D5" s="23">
        <v>0.15</v>
      </c>
      <c r="E5" s="23">
        <v>0.15</v>
      </c>
      <c r="F5" s="23">
        <v>0.15</v>
      </c>
      <c r="G5" s="23">
        <v>0.15</v>
      </c>
      <c r="H5" s="23">
        <v>0.15</v>
      </c>
      <c r="I5" s="23">
        <v>0.15</v>
      </c>
    </row>
    <row r="6" spans="1:9" ht="15.75" x14ac:dyDescent="0.25">
      <c r="A6" s="12" t="s">
        <v>49</v>
      </c>
      <c r="B6" s="15">
        <v>1.05</v>
      </c>
      <c r="C6" s="13">
        <v>20</v>
      </c>
      <c r="D6" s="13">
        <f t="shared" ref="D6:I6" si="0">C6*$B$6</f>
        <v>21</v>
      </c>
      <c r="E6" s="13">
        <f t="shared" si="0"/>
        <v>22.05</v>
      </c>
      <c r="F6" s="13">
        <f t="shared" si="0"/>
        <v>23.152500000000003</v>
      </c>
      <c r="G6" s="13">
        <f t="shared" si="0"/>
        <v>24.310125000000003</v>
      </c>
      <c r="H6" s="13">
        <f t="shared" si="0"/>
        <v>25.525631250000004</v>
      </c>
      <c r="I6" s="13">
        <f t="shared" si="0"/>
        <v>26.801912812500007</v>
      </c>
    </row>
    <row r="7" spans="1:9" ht="15.75" x14ac:dyDescent="0.25">
      <c r="A7" s="12" t="s">
        <v>53</v>
      </c>
      <c r="B7" s="12"/>
      <c r="C7" s="24">
        <f>Assumptions!B39</f>
        <v>1995.4516129032259</v>
      </c>
      <c r="D7" s="12"/>
      <c r="E7" s="12"/>
      <c r="F7" s="12"/>
      <c r="G7" s="12"/>
      <c r="H7" s="12"/>
      <c r="I7" s="12"/>
    </row>
    <row r="8" spans="1:9" ht="15.75" x14ac:dyDescent="0.25">
      <c r="A8" s="12" t="s">
        <v>54</v>
      </c>
      <c r="B8" s="12"/>
      <c r="C8" s="12">
        <f>Assumptions!B37</f>
        <v>31</v>
      </c>
      <c r="D8" s="12"/>
      <c r="E8" s="12"/>
      <c r="F8" s="12"/>
      <c r="G8" s="12"/>
      <c r="H8" s="12"/>
      <c r="I8" s="12"/>
    </row>
    <row r="9" spans="1:9" ht="15.75" x14ac:dyDescent="0.25">
      <c r="A9" s="12" t="s">
        <v>55</v>
      </c>
      <c r="B9" s="12"/>
      <c r="C9" s="23">
        <v>0.02</v>
      </c>
      <c r="D9" s="12"/>
      <c r="E9" s="12"/>
      <c r="F9" s="12"/>
      <c r="G9" s="12"/>
      <c r="H9" s="12"/>
      <c r="I9" s="12"/>
    </row>
    <row r="10" spans="1:9" ht="15.75" x14ac:dyDescent="0.25">
      <c r="A10" s="12" t="s">
        <v>60</v>
      </c>
      <c r="B10" s="12"/>
      <c r="C10" s="23">
        <v>5.5E-2</v>
      </c>
      <c r="D10" s="12"/>
      <c r="E10" s="12"/>
      <c r="F10" s="12"/>
      <c r="G10" s="12"/>
      <c r="H10" s="12"/>
      <c r="I10" s="12"/>
    </row>
    <row r="11" spans="1:9" ht="15.75" x14ac:dyDescent="0.25">
      <c r="A11" s="12" t="s">
        <v>57</v>
      </c>
      <c r="B11" s="12"/>
      <c r="C11" s="23">
        <v>3.5000000000000003E-2</v>
      </c>
      <c r="D11" s="12"/>
      <c r="E11" s="12"/>
      <c r="F11" s="12"/>
      <c r="G11" s="12"/>
      <c r="H11" s="12"/>
      <c r="I11" s="12"/>
    </row>
    <row r="12" spans="1:9" ht="15.75" x14ac:dyDescent="0.25">
      <c r="A12" s="12" t="s">
        <v>61</v>
      </c>
      <c r="B12" s="12"/>
      <c r="C12" s="23">
        <v>2.5000000000000001E-2</v>
      </c>
      <c r="D12" s="12"/>
      <c r="E12" s="12"/>
      <c r="F12" s="12"/>
      <c r="G12" s="12"/>
      <c r="H12" s="12"/>
      <c r="I12" s="12"/>
    </row>
    <row r="13" spans="1:9" ht="15.75" x14ac:dyDescent="0.25">
      <c r="A13" s="12" t="s">
        <v>63</v>
      </c>
      <c r="B13" s="12"/>
      <c r="C13" s="15">
        <v>0.25</v>
      </c>
      <c r="D13" s="12"/>
      <c r="E13" s="12"/>
      <c r="F13" s="12"/>
      <c r="G13" s="12"/>
      <c r="H13" s="12"/>
      <c r="I13" s="12"/>
    </row>
    <row r="14" spans="1:9" ht="15.75" x14ac:dyDescent="0.25">
      <c r="A14" s="12" t="s">
        <v>73</v>
      </c>
      <c r="B14" s="12"/>
      <c r="C14" s="25">
        <f t="shared" ref="C14:I14" si="1">C29/365</f>
        <v>136.42875342465754</v>
      </c>
      <c r="D14" s="25">
        <f t="shared" si="1"/>
        <v>143.25019109589041</v>
      </c>
      <c r="E14" s="25">
        <f t="shared" si="1"/>
        <v>150.41270065068494</v>
      </c>
      <c r="F14" s="25">
        <f t="shared" si="1"/>
        <v>157.93333568321924</v>
      </c>
      <c r="G14" s="25">
        <f t="shared" si="1"/>
        <v>165.83000246738018</v>
      </c>
      <c r="H14" s="25">
        <f t="shared" si="1"/>
        <v>174.12150259074917</v>
      </c>
      <c r="I14" s="25">
        <f t="shared" si="1"/>
        <v>182.82757772028665</v>
      </c>
    </row>
    <row r="15" spans="1:9" ht="15.75" x14ac:dyDescent="0.25">
      <c r="A15" s="12" t="s">
        <v>74</v>
      </c>
      <c r="B15" s="12"/>
      <c r="C15" s="25">
        <f t="shared" ref="C15:I16" si="2">C25/365</f>
        <v>3897.9643835616439</v>
      </c>
      <c r="D15" s="25">
        <f t="shared" si="2"/>
        <v>4092.8626027397258</v>
      </c>
      <c r="E15" s="25">
        <f t="shared" si="2"/>
        <v>4297.5057328767125</v>
      </c>
      <c r="F15" s="25">
        <f t="shared" si="2"/>
        <v>4512.3810195205488</v>
      </c>
      <c r="G15" s="25">
        <f t="shared" si="2"/>
        <v>4738.000070496576</v>
      </c>
      <c r="H15" s="25">
        <f t="shared" si="2"/>
        <v>4974.9000740214051</v>
      </c>
      <c r="I15" s="25">
        <f t="shared" si="2"/>
        <v>5223.6450777224754</v>
      </c>
    </row>
    <row r="16" spans="1:9" ht="15.75" x14ac:dyDescent="0.25">
      <c r="A16" s="12" t="s">
        <v>75</v>
      </c>
      <c r="B16" s="12"/>
      <c r="C16" s="25">
        <f t="shared" si="2"/>
        <v>3389.5342465753424</v>
      </c>
      <c r="D16" s="25">
        <f t="shared" si="2"/>
        <v>3559.0109589041094</v>
      </c>
      <c r="E16" s="25">
        <f t="shared" si="2"/>
        <v>3736.9615068493154</v>
      </c>
      <c r="F16" s="25">
        <f t="shared" si="2"/>
        <v>3923.8095821917818</v>
      </c>
      <c r="G16" s="25">
        <f t="shared" si="2"/>
        <v>4120.0000613013699</v>
      </c>
      <c r="H16" s="25">
        <f t="shared" si="2"/>
        <v>4326.0000643664389</v>
      </c>
      <c r="I16" s="25">
        <f t="shared" si="2"/>
        <v>4542.3000675847616</v>
      </c>
    </row>
    <row r="17" spans="1:9" ht="15.75" x14ac:dyDescent="0.25">
      <c r="A17" s="12" t="s">
        <v>76</v>
      </c>
      <c r="B17" s="12"/>
      <c r="C17" s="25">
        <f t="shared" ref="C17:I17" si="3">C25/365</f>
        <v>3897.9643835616439</v>
      </c>
      <c r="D17" s="25">
        <f t="shared" si="3"/>
        <v>4092.8626027397258</v>
      </c>
      <c r="E17" s="25">
        <f t="shared" si="3"/>
        <v>4297.5057328767125</v>
      </c>
      <c r="F17" s="25">
        <f t="shared" si="3"/>
        <v>4512.3810195205488</v>
      </c>
      <c r="G17" s="25">
        <f t="shared" si="3"/>
        <v>4738.000070496576</v>
      </c>
      <c r="H17" s="25">
        <f t="shared" si="3"/>
        <v>4974.9000740214051</v>
      </c>
      <c r="I17" s="25">
        <f t="shared" si="3"/>
        <v>5223.6450777224754</v>
      </c>
    </row>
    <row r="18" spans="1:9" ht="15.75" x14ac:dyDescent="0.25">
      <c r="A18" s="12" t="s">
        <v>118</v>
      </c>
      <c r="B18" s="12"/>
      <c r="C18" s="21">
        <f>1/10</f>
        <v>0.1</v>
      </c>
      <c r="D18" s="25"/>
      <c r="E18" s="25"/>
      <c r="F18" s="25"/>
      <c r="G18" s="25"/>
      <c r="H18" s="25"/>
      <c r="I18" s="25"/>
    </row>
    <row r="19" spans="1:9" ht="15.75" x14ac:dyDescent="0.25">
      <c r="A19" s="12"/>
      <c r="B19" s="12"/>
      <c r="C19" s="15"/>
      <c r="D19" s="12"/>
      <c r="E19" s="12"/>
      <c r="F19" s="12"/>
      <c r="G19" s="12"/>
      <c r="H19" s="12"/>
      <c r="I19" s="12"/>
    </row>
    <row r="20" spans="1:9" ht="15.75" x14ac:dyDescent="0.25">
      <c r="A20" s="12" t="s">
        <v>80</v>
      </c>
      <c r="B20" s="12"/>
      <c r="C20" s="15">
        <v>0.08</v>
      </c>
      <c r="D20" s="15">
        <v>0.08</v>
      </c>
      <c r="E20" s="15">
        <v>0.08</v>
      </c>
      <c r="F20" s="15">
        <v>0.08</v>
      </c>
      <c r="G20" s="15">
        <v>0.08</v>
      </c>
      <c r="H20" s="15">
        <v>0.08</v>
      </c>
      <c r="I20" s="15">
        <v>0.08</v>
      </c>
    </row>
    <row r="21" spans="1:9" ht="15.75" x14ac:dyDescent="0.25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16.5" thickBot="1" x14ac:dyDescent="0.3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15.75" x14ac:dyDescent="0.25">
      <c r="A23" s="17" t="s">
        <v>143</v>
      </c>
      <c r="B23" s="11"/>
      <c r="C23" s="13"/>
      <c r="D23" s="13"/>
      <c r="E23" s="13"/>
      <c r="F23" s="13"/>
      <c r="G23" s="13"/>
      <c r="H23" s="13"/>
      <c r="I23" s="13"/>
    </row>
    <row r="24" spans="1:9" ht="15.75" x14ac:dyDescent="0.25">
      <c r="A24" s="49" t="s">
        <v>148</v>
      </c>
      <c r="B24" s="17"/>
      <c r="C24" s="27">
        <v>2012</v>
      </c>
      <c r="D24" s="27">
        <v>2013</v>
      </c>
      <c r="E24" s="27">
        <v>2014</v>
      </c>
      <c r="F24" s="27">
        <v>2015</v>
      </c>
      <c r="G24" s="27">
        <v>2016</v>
      </c>
      <c r="H24" s="27">
        <v>2017</v>
      </c>
      <c r="I24" s="27">
        <v>2018</v>
      </c>
    </row>
    <row r="25" spans="1:9" ht="15.75" x14ac:dyDescent="0.25">
      <c r="A25" s="12" t="s">
        <v>50</v>
      </c>
      <c r="B25" s="12"/>
      <c r="C25" s="13">
        <f t="shared" ref="C25:I25" si="4">(C6+(C6*C5))*$C$7*$C$8</f>
        <v>1422757</v>
      </c>
      <c r="D25" s="13">
        <f t="shared" si="4"/>
        <v>1493894.8499999999</v>
      </c>
      <c r="E25" s="13">
        <f t="shared" si="4"/>
        <v>1568589.5925</v>
      </c>
      <c r="F25" s="13">
        <f t="shared" si="4"/>
        <v>1647019.0721250004</v>
      </c>
      <c r="G25" s="13">
        <f t="shared" si="4"/>
        <v>1729370.0257312502</v>
      </c>
      <c r="H25" s="13">
        <f t="shared" si="4"/>
        <v>1815838.5270178127</v>
      </c>
      <c r="I25" s="13">
        <f t="shared" si="4"/>
        <v>1906630.4533687036</v>
      </c>
    </row>
    <row r="26" spans="1:9" ht="15.75" x14ac:dyDescent="0.25">
      <c r="A26" s="12" t="s">
        <v>51</v>
      </c>
      <c r="B26" s="12"/>
      <c r="C26" s="14">
        <f t="shared" ref="C26:I26" si="5">C6*$C$7*$C$8</f>
        <v>1237180</v>
      </c>
      <c r="D26" s="14">
        <f t="shared" si="5"/>
        <v>1299039</v>
      </c>
      <c r="E26" s="14">
        <f t="shared" si="5"/>
        <v>1363990.9500000002</v>
      </c>
      <c r="F26" s="14">
        <f t="shared" si="5"/>
        <v>1432190.4975000003</v>
      </c>
      <c r="G26" s="14">
        <f t="shared" si="5"/>
        <v>1503800.0223750002</v>
      </c>
      <c r="H26" s="14">
        <f t="shared" si="5"/>
        <v>1578990.0234937503</v>
      </c>
      <c r="I26" s="14">
        <f t="shared" si="5"/>
        <v>1657939.5246684379</v>
      </c>
    </row>
    <row r="27" spans="1:9" ht="15.75" x14ac:dyDescent="0.25">
      <c r="A27" s="12" t="s">
        <v>52</v>
      </c>
      <c r="B27" s="12"/>
      <c r="C27" s="13">
        <f>C25-C26</f>
        <v>185577</v>
      </c>
      <c r="D27" s="13">
        <f t="shared" ref="D27:I27" si="6">D25-D26</f>
        <v>194855.84999999986</v>
      </c>
      <c r="E27" s="13">
        <f t="shared" si="6"/>
        <v>204598.64249999984</v>
      </c>
      <c r="F27" s="13">
        <f t="shared" si="6"/>
        <v>214828.57462500012</v>
      </c>
      <c r="G27" s="13">
        <f t="shared" si="6"/>
        <v>225570.00335625</v>
      </c>
      <c r="H27" s="13">
        <f t="shared" si="6"/>
        <v>236848.50352406246</v>
      </c>
      <c r="I27" s="13">
        <f t="shared" si="6"/>
        <v>248690.92870026571</v>
      </c>
    </row>
    <row r="28" spans="1:9" ht="15.75" x14ac:dyDescent="0.25">
      <c r="A28" s="12" t="s">
        <v>56</v>
      </c>
      <c r="B28" s="12"/>
      <c r="C28" s="20">
        <f t="shared" ref="C28:I28" si="7">C25*$C$10</f>
        <v>78251.634999999995</v>
      </c>
      <c r="D28" s="20">
        <f t="shared" si="7"/>
        <v>82164.216749999992</v>
      </c>
      <c r="E28" s="20">
        <f t="shared" si="7"/>
        <v>86272.427587500002</v>
      </c>
      <c r="F28" s="20">
        <f t="shared" si="7"/>
        <v>90586.048966875023</v>
      </c>
      <c r="G28" s="20">
        <f t="shared" si="7"/>
        <v>95115.351415218756</v>
      </c>
      <c r="H28" s="20">
        <f t="shared" si="7"/>
        <v>99871.118985979701</v>
      </c>
      <c r="I28" s="20">
        <f t="shared" si="7"/>
        <v>104864.6749352787</v>
      </c>
    </row>
    <row r="29" spans="1:9" ht="15.75" x14ac:dyDescent="0.25">
      <c r="A29" s="12" t="s">
        <v>57</v>
      </c>
      <c r="B29" s="12"/>
      <c r="C29" s="20">
        <f t="shared" ref="C29:I29" si="8">C25*$C$11</f>
        <v>49796.495000000003</v>
      </c>
      <c r="D29" s="20">
        <f t="shared" si="8"/>
        <v>52286.319750000002</v>
      </c>
      <c r="E29" s="20">
        <f t="shared" si="8"/>
        <v>54900.635737500008</v>
      </c>
      <c r="F29" s="20">
        <f t="shared" si="8"/>
        <v>57645.667524375021</v>
      </c>
      <c r="G29" s="20">
        <f t="shared" si="8"/>
        <v>60527.950900593765</v>
      </c>
      <c r="H29" s="20">
        <f t="shared" si="8"/>
        <v>63554.348445623451</v>
      </c>
      <c r="I29" s="20">
        <f t="shared" si="8"/>
        <v>66732.065867904632</v>
      </c>
    </row>
    <row r="30" spans="1:9" ht="15.75" x14ac:dyDescent="0.25">
      <c r="A30" s="12" t="s">
        <v>83</v>
      </c>
      <c r="B30" s="12"/>
      <c r="C30" s="20">
        <f t="shared" ref="C30:I30" si="9">C20*C50</f>
        <v>0</v>
      </c>
      <c r="D30" s="20">
        <f t="shared" si="9"/>
        <v>0</v>
      </c>
      <c r="E30" s="20">
        <f t="shared" si="9"/>
        <v>0</v>
      </c>
      <c r="F30" s="20">
        <f t="shared" si="9"/>
        <v>0</v>
      </c>
      <c r="G30" s="20">
        <f t="shared" si="9"/>
        <v>0</v>
      </c>
      <c r="H30" s="20">
        <f t="shared" si="9"/>
        <v>0</v>
      </c>
      <c r="I30" s="20">
        <f t="shared" si="9"/>
        <v>0</v>
      </c>
    </row>
    <row r="31" spans="1:9" ht="15.75" x14ac:dyDescent="0.25">
      <c r="A31" s="12" t="s">
        <v>58</v>
      </c>
      <c r="B31" s="12"/>
      <c r="C31" s="16">
        <f t="shared" ref="C31:I31" si="10">C25*$C$12</f>
        <v>35568.925000000003</v>
      </c>
      <c r="D31" s="16">
        <f t="shared" si="10"/>
        <v>37347.371249999997</v>
      </c>
      <c r="E31" s="16">
        <f t="shared" si="10"/>
        <v>39214.739812500004</v>
      </c>
      <c r="F31" s="16">
        <f t="shared" si="10"/>
        <v>41175.476803125013</v>
      </c>
      <c r="G31" s="16">
        <f t="shared" si="10"/>
        <v>43234.250643281259</v>
      </c>
      <c r="H31" s="16">
        <f t="shared" si="10"/>
        <v>45395.963175445322</v>
      </c>
      <c r="I31" s="16">
        <f t="shared" si="10"/>
        <v>47665.76133421759</v>
      </c>
    </row>
    <row r="32" spans="1:9" ht="15.75" x14ac:dyDescent="0.25">
      <c r="A32" s="12" t="s">
        <v>112</v>
      </c>
      <c r="B32" s="12"/>
      <c r="C32" s="13">
        <f t="shared" ref="C32:I32" si="11">-$C$43</f>
        <v>5000</v>
      </c>
      <c r="D32" s="13">
        <f t="shared" si="11"/>
        <v>5000</v>
      </c>
      <c r="E32" s="13">
        <f t="shared" si="11"/>
        <v>5000</v>
      </c>
      <c r="F32" s="13">
        <f t="shared" si="11"/>
        <v>5000</v>
      </c>
      <c r="G32" s="13">
        <f t="shared" si="11"/>
        <v>5000</v>
      </c>
      <c r="H32" s="13">
        <f t="shared" si="11"/>
        <v>5000</v>
      </c>
      <c r="I32" s="13">
        <f t="shared" si="11"/>
        <v>5000</v>
      </c>
    </row>
    <row r="33" spans="1:9" ht="15.75" x14ac:dyDescent="0.25">
      <c r="A33" s="12" t="s">
        <v>59</v>
      </c>
      <c r="B33" s="12"/>
      <c r="C33" s="13">
        <f>C27-C28-C29-C31-C30-C32</f>
        <v>16959.945</v>
      </c>
      <c r="D33" s="13">
        <f t="shared" ref="D33:I33" si="12">D27-D28-D29-D31-D30-D32</f>
        <v>18057.942249999869</v>
      </c>
      <c r="E33" s="13">
        <f t="shared" si="12"/>
        <v>19210.839362499828</v>
      </c>
      <c r="F33" s="13">
        <f t="shared" si="12"/>
        <v>20421.381330625067</v>
      </c>
      <c r="G33" s="13">
        <f t="shared" si="12"/>
        <v>21692.450397156215</v>
      </c>
      <c r="H33" s="13">
        <f t="shared" si="12"/>
        <v>23027.072917013989</v>
      </c>
      <c r="I33" s="13">
        <f t="shared" si="12"/>
        <v>24428.42656286477</v>
      </c>
    </row>
    <row r="34" spans="1:9" ht="15.75" x14ac:dyDescent="0.25">
      <c r="A34" s="12" t="s">
        <v>62</v>
      </c>
      <c r="B34" s="12"/>
      <c r="C34" s="13">
        <f t="shared" ref="C34:I34" si="13">C33*$C$13</f>
        <v>4239.9862499999999</v>
      </c>
      <c r="D34" s="13">
        <f t="shared" si="13"/>
        <v>4514.4855624999673</v>
      </c>
      <c r="E34" s="13">
        <f t="shared" si="13"/>
        <v>4802.709840624957</v>
      </c>
      <c r="F34" s="13">
        <f t="shared" si="13"/>
        <v>5105.3453326562667</v>
      </c>
      <c r="G34" s="13">
        <f t="shared" si="13"/>
        <v>5423.1125992890538</v>
      </c>
      <c r="H34" s="13">
        <f t="shared" si="13"/>
        <v>5756.7682292534973</v>
      </c>
      <c r="I34" s="13">
        <f t="shared" si="13"/>
        <v>6107.1066407161925</v>
      </c>
    </row>
    <row r="35" spans="1:9" ht="16.5" thickBot="1" x14ac:dyDescent="0.3">
      <c r="A35" s="12" t="s">
        <v>64</v>
      </c>
      <c r="B35" s="12"/>
      <c r="C35" s="26">
        <f>C33-C34</f>
        <v>12719.95875</v>
      </c>
      <c r="D35" s="26">
        <f t="shared" ref="D35:I35" si="14">D33-D34</f>
        <v>13543.456687499902</v>
      </c>
      <c r="E35" s="26">
        <f t="shared" si="14"/>
        <v>14408.129521874871</v>
      </c>
      <c r="F35" s="26">
        <f t="shared" si="14"/>
        <v>15316.0359979688</v>
      </c>
      <c r="G35" s="26">
        <f t="shared" si="14"/>
        <v>16269.337797867161</v>
      </c>
      <c r="H35" s="26">
        <f t="shared" si="14"/>
        <v>17270.304687760494</v>
      </c>
      <c r="I35" s="26">
        <f t="shared" si="14"/>
        <v>18321.319922148577</v>
      </c>
    </row>
    <row r="36" spans="1:9" ht="16.5" thickTop="1" x14ac:dyDescent="0.25">
      <c r="A36" s="12"/>
      <c r="B36" s="12"/>
      <c r="C36" s="12"/>
      <c r="D36" s="12"/>
      <c r="E36" s="12"/>
      <c r="F36" s="12"/>
      <c r="G36" s="12"/>
      <c r="H36" s="12"/>
      <c r="I36" s="12"/>
    </row>
    <row r="37" spans="1:9" ht="16.5" thickBot="1" x14ac:dyDescent="0.3">
      <c r="A37" s="12"/>
      <c r="B37" s="12"/>
      <c r="C37" s="12"/>
      <c r="D37" s="12"/>
      <c r="E37" s="12"/>
      <c r="F37" s="12"/>
      <c r="G37" s="12"/>
      <c r="H37" s="12"/>
      <c r="I37" s="12"/>
    </row>
    <row r="38" spans="1:9" ht="15.75" x14ac:dyDescent="0.25">
      <c r="A38" s="10" t="s">
        <v>142</v>
      </c>
      <c r="B38" s="10"/>
      <c r="C38" s="11"/>
      <c r="D38" s="11"/>
      <c r="E38" s="11"/>
      <c r="F38" s="11"/>
      <c r="G38" s="11"/>
      <c r="H38" s="11"/>
      <c r="I38" s="11"/>
    </row>
    <row r="39" spans="1:9" ht="15.75" x14ac:dyDescent="0.25">
      <c r="A39" s="27" t="s">
        <v>65</v>
      </c>
      <c r="B39" s="12"/>
      <c r="C39" s="12"/>
      <c r="D39" s="12"/>
      <c r="E39" s="12"/>
      <c r="F39" s="12"/>
      <c r="G39" s="12"/>
      <c r="H39" s="12"/>
      <c r="I39" s="12"/>
    </row>
    <row r="40" spans="1:9" ht="15.75" x14ac:dyDescent="0.25">
      <c r="A40" s="12" t="s">
        <v>66</v>
      </c>
      <c r="B40" s="12"/>
      <c r="C40" s="28">
        <f>C14*14+5000+49976.62+833.34</f>
        <v>57719.962547945208</v>
      </c>
      <c r="D40" s="28">
        <f>D14*14+5000+72939.06+833.34</f>
        <v>80777.902675342455</v>
      </c>
      <c r="E40" s="28">
        <f>E14*14+5000+91701.81+1666.67</f>
        <v>100474.25780910959</v>
      </c>
      <c r="F40" s="28">
        <f>F14*14+5000+111381.86+25000</f>
        <v>143592.92669956508</v>
      </c>
      <c r="G40" s="28">
        <f>G14*14+5000+132025.08+3333.33</f>
        <v>142680.03003454331</v>
      </c>
      <c r="H40" s="28">
        <f>H14*14+5000+153679.62+4166.67</f>
        <v>165283.99103627048</v>
      </c>
      <c r="I40" s="28">
        <f>I14*14+5000+176396.06+5000</f>
        <v>188955.646088084</v>
      </c>
    </row>
    <row r="41" spans="1:9" ht="15.75" x14ac:dyDescent="0.25">
      <c r="A41" s="12" t="s">
        <v>67</v>
      </c>
      <c r="B41" s="12"/>
      <c r="C41" s="28">
        <f t="shared" ref="C41:I41" si="15">C15*30</f>
        <v>116938.93150684932</v>
      </c>
      <c r="D41" s="28">
        <f t="shared" si="15"/>
        <v>122785.87808219178</v>
      </c>
      <c r="E41" s="28">
        <f t="shared" si="15"/>
        <v>128925.17198630137</v>
      </c>
      <c r="F41" s="28">
        <f t="shared" si="15"/>
        <v>135371.43058561647</v>
      </c>
      <c r="G41" s="28">
        <f t="shared" si="15"/>
        <v>142140.00211489727</v>
      </c>
      <c r="H41" s="28">
        <f t="shared" si="15"/>
        <v>149247.00222064214</v>
      </c>
      <c r="I41" s="28">
        <f t="shared" si="15"/>
        <v>156709.35233167425</v>
      </c>
    </row>
    <row r="42" spans="1:9" ht="15.75" x14ac:dyDescent="0.25">
      <c r="A42" s="12" t="s">
        <v>116</v>
      </c>
      <c r="B42" s="12"/>
      <c r="C42" s="13">
        <v>50000</v>
      </c>
      <c r="D42" s="13">
        <v>50000</v>
      </c>
      <c r="E42" s="13">
        <v>50000</v>
      </c>
      <c r="F42" s="13">
        <v>50000</v>
      </c>
      <c r="G42" s="13">
        <v>50000</v>
      </c>
      <c r="H42" s="13">
        <v>50000</v>
      </c>
      <c r="I42" s="13">
        <v>50000</v>
      </c>
    </row>
    <row r="43" spans="1:9" ht="15.75" x14ac:dyDescent="0.25">
      <c r="A43" s="12" t="s">
        <v>117</v>
      </c>
      <c r="B43" s="12"/>
      <c r="C43" s="13">
        <f>-C42*$C$18</f>
        <v>-5000</v>
      </c>
      <c r="D43" s="13">
        <f t="shared" ref="D43:I43" si="16">-D42*$C$18+C43</f>
        <v>-10000</v>
      </c>
      <c r="E43" s="13">
        <f t="shared" si="16"/>
        <v>-15000</v>
      </c>
      <c r="F43" s="13">
        <f t="shared" si="16"/>
        <v>-20000</v>
      </c>
      <c r="G43" s="13">
        <f t="shared" si="16"/>
        <v>-25000</v>
      </c>
      <c r="H43" s="13">
        <f t="shared" si="16"/>
        <v>-30000</v>
      </c>
      <c r="I43" s="13">
        <f t="shared" si="16"/>
        <v>-35000</v>
      </c>
    </row>
    <row r="44" spans="1:9" ht="15.75" x14ac:dyDescent="0.25">
      <c r="A44" s="12" t="s">
        <v>115</v>
      </c>
      <c r="B44" s="12"/>
      <c r="C44" s="29">
        <v>10000</v>
      </c>
      <c r="D44" s="29">
        <v>10000</v>
      </c>
      <c r="E44" s="29">
        <v>10000</v>
      </c>
      <c r="F44" s="29">
        <v>10000</v>
      </c>
      <c r="G44" s="29">
        <v>10000</v>
      </c>
      <c r="H44" s="29">
        <v>10000</v>
      </c>
      <c r="I44" s="29">
        <v>10000</v>
      </c>
    </row>
    <row r="45" spans="1:9" ht="15.75" x14ac:dyDescent="0.25">
      <c r="A45" s="12"/>
      <c r="B45" s="12"/>
      <c r="C45" s="12"/>
      <c r="D45" s="12"/>
      <c r="E45" s="12"/>
      <c r="F45" s="12"/>
      <c r="G45" s="12"/>
      <c r="H45" s="12"/>
      <c r="I45" s="12"/>
    </row>
    <row r="46" spans="1:9" ht="15.75" x14ac:dyDescent="0.25">
      <c r="A46" s="17" t="s">
        <v>68</v>
      </c>
      <c r="B46" s="17"/>
      <c r="C46" s="28">
        <f t="shared" ref="C46:I46" si="17">SUM(C40:C44)</f>
        <v>229658.89405479451</v>
      </c>
      <c r="D46" s="28">
        <f t="shared" si="17"/>
        <v>253563.78075753423</v>
      </c>
      <c r="E46" s="28">
        <f t="shared" si="17"/>
        <v>274399.42979541095</v>
      </c>
      <c r="F46" s="28">
        <f t="shared" si="17"/>
        <v>318964.35728518153</v>
      </c>
      <c r="G46" s="28">
        <f t="shared" si="17"/>
        <v>319820.03214944061</v>
      </c>
      <c r="H46" s="28">
        <f t="shared" si="17"/>
        <v>344530.99325691262</v>
      </c>
      <c r="I46" s="28">
        <f t="shared" si="17"/>
        <v>370664.99841975828</v>
      </c>
    </row>
    <row r="47" spans="1:9" ht="15.75" x14ac:dyDescent="0.25">
      <c r="A47" s="12"/>
      <c r="B47" s="12"/>
      <c r="C47" s="12"/>
      <c r="D47" s="12"/>
      <c r="E47" s="12"/>
      <c r="F47" s="12"/>
      <c r="G47" s="12"/>
      <c r="H47" s="12"/>
      <c r="I47" s="12"/>
    </row>
    <row r="48" spans="1:9" ht="15.75" x14ac:dyDescent="0.25">
      <c r="A48" s="27" t="s">
        <v>69</v>
      </c>
      <c r="B48" s="12"/>
      <c r="C48" s="12"/>
      <c r="D48" s="12"/>
      <c r="E48" s="12"/>
      <c r="F48" s="12"/>
      <c r="G48" s="12"/>
      <c r="H48" s="12"/>
      <c r="I48" s="12"/>
    </row>
    <row r="49" spans="1:9" ht="15.75" x14ac:dyDescent="0.25">
      <c r="A49" s="12" t="s">
        <v>70</v>
      </c>
      <c r="B49" s="12"/>
      <c r="C49" s="12">
        <v>0</v>
      </c>
      <c r="D49" s="13">
        <f t="shared" ref="D49:I49" si="18">D34</f>
        <v>4514.4855624999673</v>
      </c>
      <c r="E49" s="13">
        <f t="shared" si="18"/>
        <v>4802.709840624957</v>
      </c>
      <c r="F49" s="13">
        <f t="shared" si="18"/>
        <v>5105.3453326562667</v>
      </c>
      <c r="G49" s="13">
        <f t="shared" si="18"/>
        <v>5423.1125992890538</v>
      </c>
      <c r="H49" s="13">
        <f t="shared" si="18"/>
        <v>5756.7682292534973</v>
      </c>
      <c r="I49" s="13">
        <f t="shared" si="18"/>
        <v>6107.1066407161925</v>
      </c>
    </row>
    <row r="50" spans="1:9" ht="15.75" x14ac:dyDescent="0.25">
      <c r="A50" s="12" t="s">
        <v>71</v>
      </c>
      <c r="B50" s="1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</row>
    <row r="51" spans="1:9" ht="15.75" x14ac:dyDescent="0.25">
      <c r="A51" s="12" t="s">
        <v>134</v>
      </c>
      <c r="B51" s="12"/>
      <c r="C51" s="31">
        <f t="shared" ref="C51:I51" si="19">C17*30</f>
        <v>116938.93150684932</v>
      </c>
      <c r="D51" s="31">
        <f t="shared" si="19"/>
        <v>122785.87808219178</v>
      </c>
      <c r="E51" s="31">
        <f t="shared" si="19"/>
        <v>128925.17198630137</v>
      </c>
      <c r="F51" s="31">
        <f t="shared" si="19"/>
        <v>135371.43058561647</v>
      </c>
      <c r="G51" s="31">
        <f t="shared" si="19"/>
        <v>142140.00211489727</v>
      </c>
      <c r="H51" s="31">
        <f t="shared" si="19"/>
        <v>149247.00222064214</v>
      </c>
      <c r="I51" s="31">
        <f t="shared" si="19"/>
        <v>156709.35233167425</v>
      </c>
    </row>
    <row r="52" spans="1:9" ht="15.75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ht="15.75" x14ac:dyDescent="0.25">
      <c r="A53" s="17" t="s">
        <v>72</v>
      </c>
      <c r="B53" s="17"/>
      <c r="C53" s="28">
        <f t="shared" ref="C53:I53" si="20">SUM(C49:C51)</f>
        <v>116938.93150684932</v>
      </c>
      <c r="D53" s="28">
        <f t="shared" si="20"/>
        <v>127300.36364469174</v>
      </c>
      <c r="E53" s="28">
        <f t="shared" si="20"/>
        <v>133727.88182692631</v>
      </c>
      <c r="F53" s="28">
        <f t="shared" si="20"/>
        <v>140476.77591827273</v>
      </c>
      <c r="G53" s="28">
        <f t="shared" si="20"/>
        <v>147563.11471418632</v>
      </c>
      <c r="H53" s="28">
        <f t="shared" si="20"/>
        <v>155003.77044989564</v>
      </c>
      <c r="I53" s="28">
        <f t="shared" si="20"/>
        <v>162816.45897239045</v>
      </c>
    </row>
    <row r="54" spans="1:9" ht="15.75" x14ac:dyDescent="0.25">
      <c r="A54" s="12"/>
      <c r="B54" s="12"/>
      <c r="C54" s="12"/>
      <c r="D54" s="12"/>
      <c r="E54" s="12"/>
      <c r="F54" s="12"/>
      <c r="G54" s="12"/>
      <c r="H54" s="12"/>
      <c r="I54" s="12"/>
    </row>
    <row r="55" spans="1:9" ht="15.75" x14ac:dyDescent="0.25">
      <c r="A55" s="27" t="s">
        <v>77</v>
      </c>
      <c r="B55" s="12"/>
      <c r="C55" s="12"/>
      <c r="D55" s="12"/>
      <c r="E55" s="12"/>
      <c r="F55" s="12"/>
      <c r="G55" s="12"/>
      <c r="H55" s="12"/>
      <c r="I55" s="12"/>
    </row>
    <row r="56" spans="1:9" ht="15.75" x14ac:dyDescent="0.25">
      <c r="A56" s="12" t="s">
        <v>78</v>
      </c>
      <c r="B56" s="12"/>
      <c r="C56" s="13">
        <v>100000</v>
      </c>
      <c r="D56" s="13">
        <v>100000</v>
      </c>
      <c r="E56" s="13">
        <v>100000</v>
      </c>
      <c r="F56" s="13">
        <v>100000</v>
      </c>
      <c r="G56" s="13">
        <v>100000</v>
      </c>
      <c r="H56" s="13">
        <v>100000</v>
      </c>
      <c r="I56" s="13">
        <v>100000</v>
      </c>
    </row>
    <row r="57" spans="1:9" ht="15.75" x14ac:dyDescent="0.25">
      <c r="A57" s="12" t="s">
        <v>79</v>
      </c>
      <c r="B57" s="12"/>
      <c r="C57" s="13">
        <f>C35</f>
        <v>12719.95875</v>
      </c>
      <c r="D57" s="13">
        <f t="shared" ref="D57:I57" si="21">D35+C57</f>
        <v>26263.415437499902</v>
      </c>
      <c r="E57" s="13">
        <f t="shared" si="21"/>
        <v>40671.544959374776</v>
      </c>
      <c r="F57" s="13">
        <f t="shared" si="21"/>
        <v>55987.580957343576</v>
      </c>
      <c r="G57" s="13">
        <f t="shared" si="21"/>
        <v>72256.918755210732</v>
      </c>
      <c r="H57" s="13">
        <f t="shared" si="21"/>
        <v>89527.223442971226</v>
      </c>
      <c r="I57" s="13">
        <f t="shared" si="21"/>
        <v>107848.54336511981</v>
      </c>
    </row>
    <row r="58" spans="1:9" ht="15.75" x14ac:dyDescent="0.25">
      <c r="A58" s="12"/>
      <c r="B58" s="17"/>
      <c r="C58" s="27"/>
      <c r="D58" s="27"/>
      <c r="E58" s="27"/>
      <c r="F58" s="27"/>
      <c r="G58" s="27"/>
      <c r="H58" s="27"/>
      <c r="I58" s="27"/>
    </row>
    <row r="59" spans="1:9" ht="16.5" thickBot="1" x14ac:dyDescent="0.3">
      <c r="A59" s="17" t="s">
        <v>81</v>
      </c>
      <c r="B59" s="12"/>
      <c r="C59" s="32">
        <f t="shared" ref="C59:I59" si="22">C57+C56+C53</f>
        <v>229658.89025684932</v>
      </c>
      <c r="D59" s="32">
        <f t="shared" si="22"/>
        <v>253563.77908219164</v>
      </c>
      <c r="E59" s="32">
        <f t="shared" si="22"/>
        <v>274399.42678630108</v>
      </c>
      <c r="F59" s="32">
        <f t="shared" si="22"/>
        <v>296464.3568756163</v>
      </c>
      <c r="G59" s="32">
        <f t="shared" si="22"/>
        <v>319820.03346939705</v>
      </c>
      <c r="H59" s="32">
        <f t="shared" si="22"/>
        <v>344530.99389286689</v>
      </c>
      <c r="I59" s="32">
        <f t="shared" si="22"/>
        <v>370665.00233751023</v>
      </c>
    </row>
    <row r="60" spans="1:9" ht="16.5" thickTop="1" x14ac:dyDescent="0.25">
      <c r="A60" s="12"/>
      <c r="B60" s="12"/>
      <c r="C60" s="12"/>
      <c r="D60" s="12"/>
      <c r="E60" s="12"/>
      <c r="F60" s="12"/>
      <c r="G60" s="12"/>
      <c r="H60" s="12"/>
      <c r="I60" s="12"/>
    </row>
    <row r="61" spans="1:9" ht="15.75" x14ac:dyDescent="0.25">
      <c r="A61" s="12" t="s">
        <v>82</v>
      </c>
      <c r="B61" s="12"/>
      <c r="C61" s="28">
        <f t="shared" ref="C61:I61" si="23">C46-C59</f>
        <v>3.7979451881255955E-3</v>
      </c>
      <c r="D61" s="28">
        <f t="shared" si="23"/>
        <v>1.675342587986961E-3</v>
      </c>
      <c r="E61" s="28">
        <f t="shared" si="23"/>
        <v>3.0091098742559552E-3</v>
      </c>
      <c r="F61" s="28">
        <f t="shared" si="23"/>
        <v>22500.000409565226</v>
      </c>
      <c r="G61" s="28">
        <f t="shared" si="23"/>
        <v>-1.3199564418755472E-3</v>
      </c>
      <c r="H61" s="28">
        <f t="shared" si="23"/>
        <v>-6.3595426036044955E-4</v>
      </c>
      <c r="I61" s="28">
        <f t="shared" si="23"/>
        <v>-3.917751950211823E-3</v>
      </c>
    </row>
    <row r="62" spans="1:9" ht="15.75" x14ac:dyDescent="0.25">
      <c r="A62" s="12"/>
      <c r="B62" s="12"/>
      <c r="C62" s="12"/>
      <c r="D62" s="12"/>
      <c r="E62" s="12"/>
      <c r="F62" s="12"/>
      <c r="G62" s="12"/>
      <c r="H62" s="12"/>
      <c r="I62" s="12"/>
    </row>
    <row r="63" spans="1:9" ht="16.5" thickBot="1" x14ac:dyDescent="0.3">
      <c r="A63" s="12"/>
      <c r="B63" s="12"/>
      <c r="C63" s="12"/>
      <c r="D63" s="12"/>
      <c r="E63" s="12"/>
      <c r="F63" s="12"/>
      <c r="G63" s="12"/>
      <c r="H63" s="12"/>
      <c r="I63" s="12"/>
    </row>
    <row r="64" spans="1:9" ht="15.75" x14ac:dyDescent="0.25">
      <c r="A64" s="10" t="s">
        <v>141</v>
      </c>
      <c r="B64" s="11"/>
      <c r="C64" s="11"/>
      <c r="D64" s="11"/>
      <c r="E64" s="11"/>
      <c r="F64" s="11"/>
      <c r="G64" s="11"/>
      <c r="H64" s="11"/>
      <c r="I64" s="11"/>
    </row>
    <row r="65" spans="1:11" ht="15.75" x14ac:dyDescent="0.25">
      <c r="A65" s="12" t="s">
        <v>137</v>
      </c>
      <c r="B65" s="12"/>
      <c r="C65" s="30">
        <f t="shared" ref="C65:I65" si="24">(C40+C41+C44)/(C49+C50+C51)</f>
        <v>1.5791053644438227</v>
      </c>
      <c r="D65" s="30">
        <f t="shared" si="24"/>
        <v>1.6776368475553807</v>
      </c>
      <c r="E65" s="30">
        <f t="shared" si="24"/>
        <v>1.7901983230785572</v>
      </c>
      <c r="F65" s="30">
        <f t="shared" si="24"/>
        <v>2.0570258350269701</v>
      </c>
      <c r="G65" s="30">
        <f t="shared" si="24"/>
        <v>1.997924974140556</v>
      </c>
      <c r="H65" s="30">
        <f t="shared" si="24"/>
        <v>2.0936974133917343</v>
      </c>
      <c r="I65" s="30">
        <f t="shared" si="24"/>
        <v>2.1844535906536948</v>
      </c>
    </row>
    <row r="66" spans="1:11" ht="15.75" x14ac:dyDescent="0.25">
      <c r="A66" s="12" t="s">
        <v>140</v>
      </c>
      <c r="B66" s="12"/>
      <c r="C66" s="30">
        <f t="shared" ref="C66:I66" si="25">(C50)/(C56+C57)</f>
        <v>0</v>
      </c>
      <c r="D66" s="30">
        <f t="shared" si="25"/>
        <v>0</v>
      </c>
      <c r="E66" s="30">
        <f t="shared" si="25"/>
        <v>0</v>
      </c>
      <c r="F66" s="30">
        <f t="shared" si="25"/>
        <v>0</v>
      </c>
      <c r="G66" s="30">
        <f t="shared" si="25"/>
        <v>0</v>
      </c>
      <c r="H66" s="30">
        <f t="shared" si="25"/>
        <v>0</v>
      </c>
      <c r="I66" s="30">
        <f t="shared" si="25"/>
        <v>0</v>
      </c>
    </row>
    <row r="67" spans="1:11" ht="15.75" x14ac:dyDescent="0.25">
      <c r="A67" s="12" t="s">
        <v>138</v>
      </c>
      <c r="B67" s="12"/>
      <c r="C67" s="21">
        <f t="shared" ref="C67:I67" si="26">C35/C46</f>
        <v>5.5386310216076956E-2</v>
      </c>
      <c r="D67" s="21">
        <f t="shared" si="26"/>
        <v>5.3412426045384563E-2</v>
      </c>
      <c r="E67" s="21">
        <f t="shared" si="26"/>
        <v>5.2507869759851201E-2</v>
      </c>
      <c r="F67" s="21">
        <f t="shared" si="26"/>
        <v>4.8018017211480933E-2</v>
      </c>
      <c r="G67" s="21">
        <f t="shared" si="26"/>
        <v>5.087029004570006E-2</v>
      </c>
      <c r="H67" s="21">
        <f t="shared" si="26"/>
        <v>5.0126998806409952E-2</v>
      </c>
      <c r="I67" s="21">
        <f t="shared" si="26"/>
        <v>4.9428243832725371E-2</v>
      </c>
    </row>
    <row r="68" spans="1:11" ht="15.75" x14ac:dyDescent="0.25">
      <c r="A68" s="12" t="s">
        <v>139</v>
      </c>
      <c r="B68" s="12"/>
      <c r="C68" s="21">
        <f t="shared" ref="C68:I68" si="27">C35/(C56+C57)</f>
        <v>0.11284566540883337</v>
      </c>
      <c r="D68" s="21">
        <f t="shared" si="27"/>
        <v>0.1072635065396586</v>
      </c>
      <c r="E68" s="21">
        <f t="shared" si="27"/>
        <v>0.10242390901468998</v>
      </c>
      <c r="F68" s="21">
        <f t="shared" si="27"/>
        <v>9.8187534571467769E-2</v>
      </c>
      <c r="G68" s="21">
        <f t="shared" si="27"/>
        <v>9.4448094830878987E-2</v>
      </c>
      <c r="H68" s="21">
        <f t="shared" si="27"/>
        <v>9.1123081813928072E-2</v>
      </c>
      <c r="I68" s="21">
        <f t="shared" si="27"/>
        <v>8.8147454033219733E-2</v>
      </c>
    </row>
    <row r="69" spans="1:11" ht="15.75" x14ac:dyDescent="0.25">
      <c r="A69" s="12"/>
      <c r="B69" s="12"/>
      <c r="C69" s="21"/>
      <c r="D69" s="21"/>
      <c r="E69" s="21"/>
      <c r="F69" s="21"/>
      <c r="G69" s="21"/>
      <c r="H69" s="21"/>
      <c r="I69" s="21"/>
    </row>
    <row r="70" spans="1:11" ht="16.5" thickBot="1" x14ac:dyDescent="0.3">
      <c r="A70" s="12"/>
      <c r="B70" s="12"/>
      <c r="C70" s="21"/>
      <c r="D70" s="21"/>
      <c r="E70" s="21"/>
      <c r="F70" s="21"/>
      <c r="G70" s="21"/>
      <c r="H70" s="21"/>
      <c r="I70" s="21"/>
    </row>
    <row r="71" spans="1:11" s="1" customFormat="1" ht="15.75" x14ac:dyDescent="0.25">
      <c r="A71" s="33" t="s">
        <v>84</v>
      </c>
      <c r="B71" s="33"/>
      <c r="C71" s="34"/>
      <c r="D71" s="34"/>
      <c r="E71" s="34"/>
      <c r="F71" s="35"/>
      <c r="G71" s="35"/>
      <c r="H71" s="35"/>
      <c r="I71" s="35"/>
    </row>
    <row r="72" spans="1:11" s="1" customFormat="1" ht="15.75" x14ac:dyDescent="0.25">
      <c r="A72" s="36"/>
      <c r="B72" s="36"/>
      <c r="C72" s="36"/>
      <c r="D72" s="36"/>
      <c r="E72" s="36"/>
      <c r="F72" s="35"/>
      <c r="G72" s="35"/>
      <c r="H72" s="35"/>
      <c r="I72" s="35"/>
    </row>
    <row r="73" spans="1:11" s="1" customFormat="1" ht="15.75" x14ac:dyDescent="0.25">
      <c r="A73" s="36" t="s">
        <v>85</v>
      </c>
      <c r="B73" s="36"/>
      <c r="C73" s="36"/>
      <c r="D73" s="36"/>
      <c r="E73" s="36"/>
      <c r="F73" s="35"/>
      <c r="G73" s="35"/>
      <c r="H73" s="35"/>
      <c r="I73" s="35"/>
    </row>
    <row r="74" spans="1:11" s="1" customFormat="1" ht="15.75" x14ac:dyDescent="0.25">
      <c r="A74" s="36"/>
      <c r="B74" s="36"/>
      <c r="C74" s="36" t="s">
        <v>86</v>
      </c>
      <c r="D74" s="36">
        <v>0.55000000000000004</v>
      </c>
      <c r="E74" s="36"/>
      <c r="F74" s="35"/>
      <c r="G74" s="37"/>
      <c r="H74" s="38"/>
      <c r="I74" s="35"/>
    </row>
    <row r="75" spans="1:11" s="1" customFormat="1" ht="15.75" x14ac:dyDescent="0.25">
      <c r="A75" s="36"/>
      <c r="B75" s="36"/>
      <c r="C75" s="36" t="s">
        <v>87</v>
      </c>
      <c r="D75" s="39">
        <v>0.14699999999999999</v>
      </c>
      <c r="E75" s="36"/>
      <c r="F75" s="35"/>
      <c r="G75" s="35"/>
      <c r="H75" s="35"/>
      <c r="I75" s="35"/>
    </row>
    <row r="76" spans="1:11" s="1" customFormat="1" ht="15.75" x14ac:dyDescent="0.25">
      <c r="A76" s="36"/>
      <c r="B76" s="36"/>
      <c r="C76" s="36" t="s">
        <v>88</v>
      </c>
      <c r="D76" s="40">
        <v>5.5100000000000003E-2</v>
      </c>
      <c r="E76" s="36"/>
      <c r="F76" s="35"/>
      <c r="G76" s="35"/>
      <c r="H76" s="35"/>
      <c r="I76" s="35"/>
    </row>
    <row r="77" spans="1:11" s="1" customFormat="1" ht="15.75" x14ac:dyDescent="0.25">
      <c r="A77" s="36"/>
      <c r="B77" s="36"/>
      <c r="C77" s="36"/>
      <c r="D77" s="39"/>
      <c r="E77" s="36"/>
      <c r="F77" s="35"/>
      <c r="G77" s="35"/>
      <c r="H77" s="35"/>
      <c r="I77" s="35"/>
    </row>
    <row r="78" spans="1:11" s="1" customFormat="1" ht="15.75" x14ac:dyDescent="0.25">
      <c r="A78" s="36" t="s">
        <v>89</v>
      </c>
      <c r="B78" s="36"/>
      <c r="C78" s="36"/>
      <c r="D78" s="39">
        <f>D75+D74*(D76-D75)</f>
        <v>9.6454999999999999E-2</v>
      </c>
      <c r="E78" s="36"/>
      <c r="F78" s="35"/>
      <c r="G78" s="35"/>
      <c r="H78" s="35"/>
      <c r="I78" s="36"/>
      <c r="J78" s="2"/>
      <c r="K78" s="2"/>
    </row>
    <row r="79" spans="1:11" s="1" customFormat="1" ht="15.75" x14ac:dyDescent="0.25">
      <c r="A79" s="36" t="s">
        <v>90</v>
      </c>
      <c r="B79" s="36"/>
      <c r="C79" s="36"/>
      <c r="D79" s="39">
        <v>0.08</v>
      </c>
      <c r="E79" s="36"/>
      <c r="F79" s="36"/>
      <c r="G79" s="41"/>
      <c r="H79" s="42"/>
      <c r="I79" s="43"/>
      <c r="J79" s="2"/>
      <c r="K79" s="3"/>
    </row>
    <row r="80" spans="1:11" s="1" customFormat="1" ht="15.75" x14ac:dyDescent="0.25">
      <c r="A80" s="36" t="s">
        <v>91</v>
      </c>
      <c r="B80" s="36"/>
      <c r="C80" s="36"/>
      <c r="D80" s="39">
        <v>0.2</v>
      </c>
      <c r="E80" s="36"/>
      <c r="F80" s="36"/>
      <c r="G80" s="41"/>
      <c r="H80" s="42"/>
      <c r="I80" s="36"/>
      <c r="J80" s="2"/>
      <c r="K80" s="3"/>
    </row>
    <row r="81" spans="1:9" s="1" customFormat="1" ht="15.75" x14ac:dyDescent="0.25">
      <c r="A81" s="36"/>
      <c r="B81" s="36"/>
      <c r="C81" s="36"/>
      <c r="D81" s="36"/>
      <c r="E81" s="36"/>
      <c r="F81" s="35"/>
      <c r="G81" s="35"/>
      <c r="H81" s="35"/>
      <c r="I81" s="35"/>
    </row>
    <row r="82" spans="1:9" s="1" customFormat="1" ht="15.75" x14ac:dyDescent="0.25">
      <c r="A82" s="44" t="s">
        <v>97</v>
      </c>
      <c r="B82" s="45"/>
      <c r="C82" s="36"/>
      <c r="D82" s="36"/>
      <c r="E82" s="36"/>
      <c r="F82" s="35"/>
      <c r="G82" s="35"/>
      <c r="H82" s="35"/>
      <c r="I82" s="35"/>
    </row>
    <row r="83" spans="1:9" s="1" customFormat="1" ht="15.75" x14ac:dyDescent="0.25">
      <c r="A83" s="36" t="s">
        <v>96</v>
      </c>
      <c r="B83" s="36"/>
      <c r="C83" s="36"/>
      <c r="D83" s="36">
        <v>0</v>
      </c>
      <c r="E83" s="46">
        <f>D83/D85</f>
        <v>0</v>
      </c>
      <c r="F83" s="35"/>
      <c r="G83" s="35"/>
      <c r="H83" s="35"/>
      <c r="I83" s="35"/>
    </row>
    <row r="84" spans="1:9" s="1" customFormat="1" ht="15.75" x14ac:dyDescent="0.25">
      <c r="A84" s="36" t="s">
        <v>95</v>
      </c>
      <c r="B84" s="36"/>
      <c r="C84" s="36"/>
      <c r="D84" s="47">
        <f>+I56+I57</f>
        <v>207848.54336511981</v>
      </c>
      <c r="E84" s="42">
        <f>D84/D85</f>
        <v>1</v>
      </c>
      <c r="F84" s="35"/>
      <c r="G84" s="35"/>
      <c r="H84" s="35"/>
      <c r="I84" s="35"/>
    </row>
    <row r="85" spans="1:9" s="1" customFormat="1" ht="15.75" x14ac:dyDescent="0.25">
      <c r="A85" s="36" t="s">
        <v>94</v>
      </c>
      <c r="B85" s="36"/>
      <c r="C85" s="36"/>
      <c r="D85" s="48">
        <f>SUM(D83:D84)</f>
        <v>207848.54336511981</v>
      </c>
      <c r="E85" s="36"/>
      <c r="F85" s="35"/>
      <c r="G85" s="35"/>
      <c r="H85" s="35"/>
      <c r="I85" s="35"/>
    </row>
    <row r="86" spans="1:9" s="1" customFormat="1" ht="15.75" x14ac:dyDescent="0.25">
      <c r="A86" s="36"/>
      <c r="B86" s="36"/>
      <c r="C86" s="36"/>
      <c r="D86" s="48"/>
      <c r="E86" s="36"/>
      <c r="F86" s="35"/>
      <c r="G86" s="35"/>
      <c r="H86" s="35"/>
      <c r="I86" s="35"/>
    </row>
    <row r="87" spans="1:9" s="1" customFormat="1" ht="15.75" x14ac:dyDescent="0.25">
      <c r="A87" s="45" t="s">
        <v>98</v>
      </c>
      <c r="B87" s="45"/>
      <c r="C87" s="42">
        <f>+E83</f>
        <v>0</v>
      </c>
      <c r="D87" s="48"/>
      <c r="E87" s="36"/>
      <c r="F87" s="35"/>
      <c r="G87" s="35"/>
      <c r="H87" s="35"/>
      <c r="I87" s="35"/>
    </row>
    <row r="88" spans="1:9" s="1" customFormat="1" ht="15.75" x14ac:dyDescent="0.25">
      <c r="A88" s="45" t="s">
        <v>99</v>
      </c>
      <c r="B88" s="45"/>
      <c r="C88" s="42">
        <f>+E84</f>
        <v>1</v>
      </c>
      <c r="D88" s="46"/>
      <c r="E88" s="36"/>
      <c r="F88" s="35"/>
      <c r="G88" s="35"/>
      <c r="H88" s="35"/>
      <c r="I88" s="35"/>
    </row>
    <row r="89" spans="1:9" s="1" customFormat="1" ht="15.75" x14ac:dyDescent="0.25">
      <c r="A89" s="36"/>
      <c r="B89" s="36"/>
      <c r="C89" s="36"/>
      <c r="D89" s="36"/>
      <c r="E89" s="36"/>
      <c r="F89" s="35"/>
      <c r="G89" s="35"/>
      <c r="H89" s="35"/>
      <c r="I89" s="35"/>
    </row>
    <row r="90" spans="1:9" ht="15.75" x14ac:dyDescent="0.25">
      <c r="A90" s="45" t="s">
        <v>92</v>
      </c>
      <c r="B90" s="45"/>
      <c r="C90" s="50">
        <f>C87*D79*(1-D80)+C88*D78</f>
        <v>9.6454999999999999E-2</v>
      </c>
      <c r="D90" s="12"/>
      <c r="E90" s="12"/>
      <c r="F90" s="49"/>
      <c r="G90" s="49"/>
      <c r="H90" s="49"/>
      <c r="I90" s="49"/>
    </row>
    <row r="91" spans="1:9" ht="15.75" x14ac:dyDescent="0.25">
      <c r="A91" s="12"/>
      <c r="B91" s="12"/>
      <c r="C91" s="12"/>
      <c r="D91" s="12"/>
      <c r="E91" s="12"/>
      <c r="F91" s="49"/>
      <c r="G91" s="49"/>
      <c r="H91" s="49"/>
      <c r="I91" s="49"/>
    </row>
    <row r="92" spans="1:9" ht="15.75" x14ac:dyDescent="0.25">
      <c r="A92" s="45" t="s">
        <v>100</v>
      </c>
      <c r="B92" s="45"/>
      <c r="C92" s="36"/>
      <c r="D92" s="12"/>
      <c r="E92" s="12"/>
      <c r="F92" s="49"/>
      <c r="G92" s="49"/>
      <c r="H92" s="49"/>
      <c r="I92" s="49"/>
    </row>
    <row r="93" spans="1:9" ht="15.75" x14ac:dyDescent="0.25">
      <c r="A93" s="36"/>
      <c r="B93" s="36"/>
      <c r="C93" s="36"/>
      <c r="D93" s="12"/>
      <c r="E93" s="12"/>
      <c r="F93" s="49"/>
      <c r="G93" s="49"/>
      <c r="H93" s="49"/>
      <c r="I93" s="49"/>
    </row>
    <row r="94" spans="1:9" ht="15.75" x14ac:dyDescent="0.25">
      <c r="A94" s="45" t="s">
        <v>101</v>
      </c>
      <c r="B94" s="45"/>
      <c r="C94" s="36"/>
      <c r="D94" s="12"/>
      <c r="E94" s="12"/>
      <c r="F94" s="49"/>
      <c r="G94" s="49"/>
      <c r="H94" s="49"/>
      <c r="I94" s="49"/>
    </row>
    <row r="95" spans="1:9" ht="15.75" x14ac:dyDescent="0.25">
      <c r="A95" s="36" t="s">
        <v>102</v>
      </c>
      <c r="B95" s="36"/>
      <c r="C95" s="12">
        <f>+D74</f>
        <v>0.55000000000000004</v>
      </c>
      <c r="D95" s="12"/>
      <c r="E95" s="12"/>
      <c r="F95" s="49"/>
      <c r="G95" s="49"/>
      <c r="H95" s="49"/>
      <c r="I95" s="49"/>
    </row>
    <row r="96" spans="1:9" ht="15.75" x14ac:dyDescent="0.25">
      <c r="A96" s="36" t="s">
        <v>103</v>
      </c>
      <c r="B96" s="36"/>
      <c r="C96" s="15">
        <f>+C87</f>
        <v>0</v>
      </c>
      <c r="D96" s="12"/>
      <c r="E96" s="12"/>
      <c r="F96" s="49"/>
      <c r="G96" s="49"/>
      <c r="H96" s="49"/>
      <c r="I96" s="49"/>
    </row>
    <row r="97" spans="1:9" ht="15.75" x14ac:dyDescent="0.25">
      <c r="A97" s="36" t="s">
        <v>104</v>
      </c>
      <c r="B97" s="36"/>
      <c r="C97" s="15">
        <f>+C88</f>
        <v>1</v>
      </c>
      <c r="D97" s="12"/>
      <c r="E97" s="12"/>
      <c r="F97" s="49"/>
      <c r="G97" s="49"/>
      <c r="H97" s="49"/>
      <c r="I97" s="49"/>
    </row>
    <row r="98" spans="1:9" ht="15.75" x14ac:dyDescent="0.25">
      <c r="A98" s="36"/>
      <c r="B98" s="36"/>
      <c r="C98" s="12"/>
      <c r="D98" s="12"/>
      <c r="E98" s="12"/>
      <c r="F98" s="49"/>
      <c r="G98" s="49"/>
      <c r="H98" s="49"/>
      <c r="I98" s="49"/>
    </row>
    <row r="99" spans="1:9" ht="15.75" x14ac:dyDescent="0.25">
      <c r="A99" s="45" t="s">
        <v>105</v>
      </c>
      <c r="B99" s="45"/>
      <c r="C99" s="12">
        <f>C95/(1+(1-D80)*(C96/C97))</f>
        <v>0.55000000000000004</v>
      </c>
      <c r="D99" s="12"/>
      <c r="E99" s="12"/>
      <c r="F99" s="49"/>
      <c r="G99" s="49"/>
      <c r="H99" s="49"/>
      <c r="I99" s="49"/>
    </row>
    <row r="100" spans="1:9" ht="15.75" x14ac:dyDescent="0.25">
      <c r="A100" s="36"/>
      <c r="B100" s="36"/>
      <c r="C100" s="12"/>
      <c r="D100" s="12"/>
      <c r="E100" s="12"/>
      <c r="F100" s="49"/>
      <c r="G100" s="49"/>
      <c r="H100" s="49"/>
      <c r="I100" s="49"/>
    </row>
    <row r="101" spans="1:9" ht="15.75" x14ac:dyDescent="0.25">
      <c r="A101" s="36" t="s">
        <v>106</v>
      </c>
      <c r="B101" s="36"/>
      <c r="C101" s="22">
        <v>0.5</v>
      </c>
      <c r="D101" s="12"/>
      <c r="E101" s="12"/>
      <c r="F101" s="49"/>
      <c r="G101" s="49"/>
      <c r="H101" s="49"/>
      <c r="I101" s="49"/>
    </row>
    <row r="102" spans="1:9" ht="15.75" x14ac:dyDescent="0.25">
      <c r="A102" s="36" t="s">
        <v>107</v>
      </c>
      <c r="B102" s="36"/>
      <c r="C102" s="22">
        <v>0.5</v>
      </c>
      <c r="D102" s="12"/>
      <c r="E102" s="12"/>
      <c r="F102" s="49"/>
      <c r="G102" s="49"/>
      <c r="H102" s="49"/>
      <c r="I102" s="49"/>
    </row>
    <row r="103" spans="1:9" ht="15.75" x14ac:dyDescent="0.25">
      <c r="A103" s="36"/>
      <c r="B103" s="36"/>
      <c r="C103" s="36"/>
      <c r="D103" s="12"/>
      <c r="E103" s="12"/>
      <c r="F103" s="49"/>
      <c r="G103" s="49"/>
      <c r="H103" s="49"/>
      <c r="I103" s="49"/>
    </row>
    <row r="104" spans="1:9" ht="15.75" x14ac:dyDescent="0.25">
      <c r="A104" s="45" t="s">
        <v>108</v>
      </c>
      <c r="B104" s="45"/>
      <c r="C104" s="36">
        <f>(1+(1-D80)*(C101/C102))*C99</f>
        <v>0.9900000000000001</v>
      </c>
      <c r="D104" s="12"/>
      <c r="E104" s="12"/>
      <c r="F104" s="49"/>
      <c r="G104" s="49"/>
      <c r="H104" s="49"/>
      <c r="I104" s="49"/>
    </row>
    <row r="105" spans="1:9" ht="15.75" x14ac:dyDescent="0.25">
      <c r="A105" s="36"/>
      <c r="B105" s="36"/>
      <c r="C105" s="36"/>
      <c r="D105" s="12"/>
      <c r="E105" s="12"/>
      <c r="F105" s="49"/>
      <c r="G105" s="49"/>
      <c r="H105" s="49"/>
      <c r="I105" s="49"/>
    </row>
    <row r="106" spans="1:9" ht="31.5" x14ac:dyDescent="0.25">
      <c r="A106" s="51" t="s">
        <v>109</v>
      </c>
      <c r="B106" s="45"/>
      <c r="C106" s="36"/>
      <c r="D106" s="12"/>
      <c r="E106" s="12"/>
      <c r="F106" s="49"/>
      <c r="G106" s="49"/>
      <c r="H106" s="49"/>
      <c r="I106" s="49"/>
    </row>
    <row r="107" spans="1:9" ht="15.75" x14ac:dyDescent="0.25">
      <c r="A107" s="36"/>
      <c r="B107" s="36"/>
      <c r="C107" s="36"/>
      <c r="D107" s="12"/>
      <c r="E107" s="12"/>
      <c r="F107" s="49"/>
      <c r="G107" s="49"/>
      <c r="H107" s="49"/>
      <c r="I107" s="49"/>
    </row>
    <row r="108" spans="1:9" ht="15.75" x14ac:dyDescent="0.25">
      <c r="A108" s="36" t="str">
        <f>+C74</f>
        <v>Beta</v>
      </c>
      <c r="B108" s="36"/>
      <c r="C108" s="12">
        <f>+C104</f>
        <v>0.9900000000000001</v>
      </c>
      <c r="D108" s="12"/>
      <c r="E108" s="12"/>
      <c r="F108" s="49"/>
      <c r="G108" s="49"/>
      <c r="H108" s="49"/>
      <c r="I108" s="49"/>
    </row>
    <row r="109" spans="1:9" ht="15.75" x14ac:dyDescent="0.25">
      <c r="A109" s="36" t="str">
        <f>+C75</f>
        <v>T-Bill rate</v>
      </c>
      <c r="B109" s="36"/>
      <c r="C109" s="21">
        <f t="shared" ref="C109:C110" si="28">+D75</f>
        <v>0.14699999999999999</v>
      </c>
      <c r="D109" s="12"/>
      <c r="E109" s="12"/>
      <c r="F109" s="49"/>
      <c r="G109" s="49"/>
      <c r="H109" s="49"/>
      <c r="I109" s="49"/>
    </row>
    <row r="110" spans="1:9" ht="15.75" x14ac:dyDescent="0.25">
      <c r="A110" s="36" t="str">
        <f>+C76</f>
        <v>S&amp;P 500 rate</v>
      </c>
      <c r="B110" s="36"/>
      <c r="C110" s="21">
        <f t="shared" si="28"/>
        <v>5.5100000000000003E-2</v>
      </c>
      <c r="D110" s="12"/>
      <c r="E110" s="12"/>
      <c r="F110" s="49"/>
      <c r="G110" s="49"/>
      <c r="H110" s="49"/>
      <c r="I110" s="49"/>
    </row>
    <row r="111" spans="1:9" ht="15.75" x14ac:dyDescent="0.25">
      <c r="A111" s="36"/>
      <c r="B111" s="36"/>
      <c r="C111" s="12"/>
      <c r="D111" s="12"/>
      <c r="E111" s="12"/>
      <c r="F111" s="49"/>
      <c r="G111" s="49"/>
      <c r="H111" s="49"/>
      <c r="I111" s="49"/>
    </row>
    <row r="112" spans="1:9" ht="15.75" x14ac:dyDescent="0.25">
      <c r="A112" s="36" t="str">
        <f>+A78</f>
        <v>Return equity holders want</v>
      </c>
      <c r="B112" s="36"/>
      <c r="C112" s="39">
        <f>C109+C108*(C110-C109)</f>
        <v>5.6018999999999999E-2</v>
      </c>
      <c r="D112" s="12"/>
      <c r="E112" s="12"/>
      <c r="F112" s="49"/>
      <c r="G112" s="49"/>
      <c r="H112" s="49"/>
      <c r="I112" s="49"/>
    </row>
    <row r="113" spans="1:9" ht="15.75" x14ac:dyDescent="0.25">
      <c r="A113" s="36"/>
      <c r="B113" s="36"/>
      <c r="C113" s="36"/>
      <c r="D113" s="12"/>
      <c r="E113" s="12"/>
      <c r="F113" s="49"/>
      <c r="G113" s="49"/>
      <c r="H113" s="49"/>
      <c r="I113" s="49"/>
    </row>
    <row r="114" spans="1:9" ht="15.75" x14ac:dyDescent="0.25">
      <c r="A114" s="12" t="s">
        <v>111</v>
      </c>
      <c r="B114" s="12"/>
      <c r="C114" s="22">
        <v>0.5</v>
      </c>
      <c r="D114" s="12"/>
      <c r="E114" s="12"/>
      <c r="F114" s="49"/>
      <c r="G114" s="49"/>
      <c r="H114" s="49"/>
      <c r="I114" s="49"/>
    </row>
    <row r="115" spans="1:9" ht="15.75" x14ac:dyDescent="0.25">
      <c r="A115" s="12" t="s">
        <v>99</v>
      </c>
      <c r="B115" s="12"/>
      <c r="C115" s="22">
        <v>0.5</v>
      </c>
      <c r="D115" s="12"/>
      <c r="E115" s="12"/>
      <c r="F115" s="49"/>
      <c r="G115" s="49"/>
      <c r="H115" s="49"/>
      <c r="I115" s="49"/>
    </row>
    <row r="116" spans="1:9" ht="15.75" x14ac:dyDescent="0.25">
      <c r="A116" s="12"/>
      <c r="B116" s="12"/>
      <c r="C116" s="12"/>
      <c r="D116" s="12"/>
      <c r="E116" s="12"/>
      <c r="F116" s="49"/>
      <c r="G116" s="49"/>
      <c r="H116" s="49"/>
      <c r="I116" s="49"/>
    </row>
    <row r="117" spans="1:9" ht="15.75" x14ac:dyDescent="0.25">
      <c r="A117" s="17" t="s">
        <v>110</v>
      </c>
      <c r="B117" s="17"/>
      <c r="C117" s="21">
        <f>(C114*D79)*(1-D80)+(C115*C112)</f>
        <v>6.00095E-2</v>
      </c>
      <c r="D117" s="12"/>
      <c r="E117" s="12"/>
      <c r="F117" s="49"/>
      <c r="G117" s="49"/>
      <c r="H117" s="49"/>
      <c r="I117" s="49"/>
    </row>
    <row r="118" spans="1:9" x14ac:dyDescent="0.25">
      <c r="A118" s="4"/>
      <c r="B118" s="4"/>
      <c r="C118" s="4"/>
      <c r="D118" s="4"/>
      <c r="E118" s="4"/>
    </row>
  </sheetData>
  <mergeCells count="1">
    <mergeCell ref="C1:F2"/>
  </mergeCells>
  <pageMargins left="0.7" right="0.7" top="0.75" bottom="0.75" header="0.3" footer="0.3"/>
  <pageSetup scale="37"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zoomScale="90" zoomScaleNormal="90" workbookViewId="0">
      <selection activeCell="F19" sqref="F19"/>
    </sheetView>
  </sheetViews>
  <sheetFormatPr defaultRowHeight="15" x14ac:dyDescent="0.25"/>
  <cols>
    <col min="1" max="1" width="29.140625" bestFit="1" customWidth="1"/>
    <col min="2" max="2" width="11" customWidth="1"/>
    <col min="3" max="4" width="15" bestFit="1" customWidth="1"/>
    <col min="5" max="9" width="13.28515625" bestFit="1" customWidth="1"/>
    <col min="10" max="10" width="15" bestFit="1" customWidth="1"/>
  </cols>
  <sheetData>
    <row r="2" spans="1:10" ht="15" customHeight="1" x14ac:dyDescent="0.25">
      <c r="C2" s="59" t="s">
        <v>146</v>
      </c>
      <c r="D2" s="59"/>
      <c r="E2" s="59"/>
      <c r="F2" s="59"/>
      <c r="G2" s="59"/>
    </row>
    <row r="3" spans="1:10" ht="15" customHeight="1" thickBot="1" x14ac:dyDescent="0.3">
      <c r="C3" s="60"/>
      <c r="D3" s="60"/>
      <c r="E3" s="60"/>
      <c r="F3" s="60"/>
      <c r="G3" s="60"/>
    </row>
    <row r="4" spans="1:10" ht="15.75" thickTop="1" x14ac:dyDescent="0.25"/>
    <row r="5" spans="1:10" ht="15.75" thickBot="1" x14ac:dyDescent="0.3"/>
    <row r="6" spans="1:10" ht="15.75" x14ac:dyDescent="0.25">
      <c r="A6" s="10" t="s">
        <v>93</v>
      </c>
      <c r="B6" s="10"/>
      <c r="C6" s="11">
        <v>0</v>
      </c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1">
        <v>6</v>
      </c>
      <c r="J6" s="11">
        <v>7</v>
      </c>
    </row>
    <row r="7" spans="1:10" ht="15.75" x14ac:dyDescent="0.25">
      <c r="A7" s="12"/>
      <c r="B7" s="12"/>
      <c r="C7" s="12"/>
      <c r="D7" s="12">
        <v>2012</v>
      </c>
      <c r="E7" s="12">
        <v>2013</v>
      </c>
      <c r="F7" s="12">
        <v>2014</v>
      </c>
      <c r="G7" s="12">
        <v>2015</v>
      </c>
      <c r="H7" s="12">
        <v>2016</v>
      </c>
      <c r="I7" s="12">
        <v>2017</v>
      </c>
      <c r="J7" s="12">
        <v>2018</v>
      </c>
    </row>
    <row r="8" spans="1:10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ht="15.75" x14ac:dyDescent="0.25">
      <c r="A9" s="12" t="s">
        <v>135</v>
      </c>
      <c r="B9" s="12"/>
      <c r="C9" s="12"/>
      <c r="D9" s="13">
        <f>'Forecast and WACC'!C27-'Forecast and WACC'!C28-'Forecast and WACC'!C29-'Forecast and WACC'!C31</f>
        <v>21959.945</v>
      </c>
      <c r="E9" s="13">
        <f>'Forecast and WACC'!D27-'Forecast and WACC'!D28-'Forecast and WACC'!D29-'Forecast and WACC'!D31</f>
        <v>23057.942249999869</v>
      </c>
      <c r="F9" s="13">
        <f>'Forecast and WACC'!E27-'Forecast and WACC'!E28-'Forecast and WACC'!E29-'Forecast and WACC'!E31</f>
        <v>24210.839362499828</v>
      </c>
      <c r="G9" s="13">
        <f>'Forecast and WACC'!F27-'Forecast and WACC'!F28-'Forecast and WACC'!F29-'Forecast and WACC'!F31</f>
        <v>25421.381330625067</v>
      </c>
      <c r="H9" s="13">
        <f>'Forecast and WACC'!G27-'Forecast and WACC'!G28-'Forecast and WACC'!G29-'Forecast and WACC'!G31</f>
        <v>26692.450397156215</v>
      </c>
      <c r="I9" s="13">
        <f>'Forecast and WACC'!H27-'Forecast and WACC'!H28-'Forecast and WACC'!H29-'Forecast and WACC'!H31</f>
        <v>28027.072917013989</v>
      </c>
      <c r="J9" s="13">
        <f>'Forecast and WACC'!I27-'Forecast and WACC'!I28-'Forecast and WACC'!I29-'Forecast and WACC'!I31</f>
        <v>29428.42656286477</v>
      </c>
    </row>
    <row r="10" spans="1:10" ht="15.75" x14ac:dyDescent="0.25">
      <c r="A10" s="12" t="s">
        <v>112</v>
      </c>
      <c r="B10" s="12"/>
      <c r="C10" s="12"/>
      <c r="D10" s="14">
        <f>'Forecast and WACC'!C32</f>
        <v>5000</v>
      </c>
      <c r="E10" s="14">
        <f>'Forecast and WACC'!D32</f>
        <v>5000</v>
      </c>
      <c r="F10" s="14">
        <f>'Forecast and WACC'!E32</f>
        <v>5000</v>
      </c>
      <c r="G10" s="14">
        <f>'Forecast and WACC'!F32</f>
        <v>5000</v>
      </c>
      <c r="H10" s="14">
        <f>'Forecast and WACC'!G32</f>
        <v>5000</v>
      </c>
      <c r="I10" s="14">
        <f>'Forecast and WACC'!H32</f>
        <v>5000</v>
      </c>
      <c r="J10" s="14">
        <f>'Forecast and WACC'!I32</f>
        <v>5000</v>
      </c>
    </row>
    <row r="11" spans="1:10" ht="15.75" x14ac:dyDescent="0.25">
      <c r="A11" s="12" t="s">
        <v>59</v>
      </c>
      <c r="B11" s="12"/>
      <c r="C11" s="12"/>
      <c r="D11" s="13">
        <f>D9-D10</f>
        <v>16959.945</v>
      </c>
      <c r="E11" s="13">
        <f t="shared" ref="E11:J11" si="0">E9-E10</f>
        <v>18057.942249999869</v>
      </c>
      <c r="F11" s="13">
        <f t="shared" si="0"/>
        <v>19210.839362499828</v>
      </c>
      <c r="G11" s="13">
        <f t="shared" si="0"/>
        <v>20421.381330625067</v>
      </c>
      <c r="H11" s="13">
        <f t="shared" si="0"/>
        <v>21692.450397156215</v>
      </c>
      <c r="I11" s="13">
        <f t="shared" si="0"/>
        <v>23027.072917013989</v>
      </c>
      <c r="J11" s="13">
        <f t="shared" si="0"/>
        <v>24428.42656286477</v>
      </c>
    </row>
    <row r="12" spans="1:10" ht="15.75" x14ac:dyDescent="0.25">
      <c r="A12" s="12" t="s">
        <v>113</v>
      </c>
      <c r="B12" s="15">
        <f>'Forecast and WACC'!C13</f>
        <v>0.25</v>
      </c>
      <c r="C12" s="12"/>
      <c r="D12" s="16">
        <f t="shared" ref="D12:J12" si="1">D11*$B$12</f>
        <v>4239.9862499999999</v>
      </c>
      <c r="E12" s="16">
        <f t="shared" si="1"/>
        <v>4514.4855624999673</v>
      </c>
      <c r="F12" s="16">
        <f t="shared" si="1"/>
        <v>4802.709840624957</v>
      </c>
      <c r="G12" s="16">
        <f t="shared" si="1"/>
        <v>5105.3453326562667</v>
      </c>
      <c r="H12" s="16">
        <f t="shared" si="1"/>
        <v>5423.1125992890538</v>
      </c>
      <c r="I12" s="16">
        <f t="shared" si="1"/>
        <v>5756.7682292534973</v>
      </c>
      <c r="J12" s="16">
        <f t="shared" si="1"/>
        <v>6107.1066407161925</v>
      </c>
    </row>
    <row r="13" spans="1:10" ht="15.75" x14ac:dyDescent="0.25">
      <c r="A13" s="12" t="s">
        <v>136</v>
      </c>
      <c r="B13" s="12"/>
      <c r="C13" s="12"/>
      <c r="D13" s="13">
        <f>D11-D12</f>
        <v>12719.95875</v>
      </c>
      <c r="E13" s="13">
        <f t="shared" ref="E13:J13" si="2">E11-E12</f>
        <v>13543.456687499902</v>
      </c>
      <c r="F13" s="13">
        <f t="shared" si="2"/>
        <v>14408.129521874871</v>
      </c>
      <c r="G13" s="13">
        <f t="shared" si="2"/>
        <v>15316.0359979688</v>
      </c>
      <c r="H13" s="13">
        <f t="shared" si="2"/>
        <v>16269.337797867161</v>
      </c>
      <c r="I13" s="13">
        <f t="shared" si="2"/>
        <v>17270.304687760494</v>
      </c>
      <c r="J13" s="13">
        <f t="shared" si="2"/>
        <v>18321.319922148577</v>
      </c>
    </row>
    <row r="14" spans="1:10" ht="15.75" x14ac:dyDescent="0.25">
      <c r="A14" s="12" t="s">
        <v>114</v>
      </c>
      <c r="B14" s="12"/>
      <c r="C14" s="12"/>
      <c r="D14" s="13">
        <f>D10</f>
        <v>5000</v>
      </c>
      <c r="E14" s="13">
        <f t="shared" ref="E14:J14" si="3">E10</f>
        <v>5000</v>
      </c>
      <c r="F14" s="13">
        <f t="shared" si="3"/>
        <v>5000</v>
      </c>
      <c r="G14" s="13">
        <f t="shared" si="3"/>
        <v>5000</v>
      </c>
      <c r="H14" s="13">
        <f t="shared" si="3"/>
        <v>5000</v>
      </c>
      <c r="I14" s="13">
        <f t="shared" si="3"/>
        <v>5000</v>
      </c>
      <c r="J14" s="13">
        <f t="shared" si="3"/>
        <v>5000</v>
      </c>
    </row>
    <row r="15" spans="1:10" ht="15.75" x14ac:dyDescent="0.25">
      <c r="A15" s="12" t="s">
        <v>119</v>
      </c>
      <c r="B15" s="12"/>
      <c r="C15" s="12"/>
      <c r="D15" s="13">
        <f>D13+D14</f>
        <v>17719.958749999998</v>
      </c>
      <c r="E15" s="13">
        <f t="shared" ref="E15:J15" si="4">E13+E14</f>
        <v>18543.4566874999</v>
      </c>
      <c r="F15" s="13">
        <f t="shared" si="4"/>
        <v>19408.129521874871</v>
      </c>
      <c r="G15" s="13">
        <f t="shared" si="4"/>
        <v>20316.0359979688</v>
      </c>
      <c r="H15" s="13">
        <f t="shared" si="4"/>
        <v>21269.337797867163</v>
      </c>
      <c r="I15" s="13">
        <f t="shared" si="4"/>
        <v>22270.304687760494</v>
      </c>
      <c r="J15" s="13">
        <f t="shared" si="4"/>
        <v>23321.319922148577</v>
      </c>
    </row>
    <row r="16" spans="1:10" ht="15.7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15.7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ht="15.75" x14ac:dyDescent="0.25">
      <c r="A18" s="17" t="s">
        <v>120</v>
      </c>
      <c r="B18" s="17"/>
      <c r="C18" s="12"/>
      <c r="D18" s="12"/>
      <c r="E18" s="12"/>
      <c r="F18" s="12"/>
      <c r="G18" s="12"/>
      <c r="H18" s="12"/>
      <c r="I18" s="12"/>
      <c r="J18" s="12"/>
    </row>
    <row r="19" spans="1:10" ht="15.75" x14ac:dyDescent="0.25">
      <c r="A19" s="12" t="s">
        <v>121</v>
      </c>
      <c r="B19" s="12"/>
      <c r="C19" s="13">
        <f>-'Forecast and WACC'!C42</f>
        <v>-50000</v>
      </c>
      <c r="D19" s="12"/>
      <c r="E19" s="12"/>
      <c r="F19" s="12"/>
      <c r="G19" s="12"/>
      <c r="H19" s="12"/>
      <c r="I19" s="12"/>
      <c r="J19" s="13">
        <f>-C19-(D14+E14+F14+G14+H14+I14+J14)</f>
        <v>15000</v>
      </c>
    </row>
    <row r="20" spans="1:10" ht="15.7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5.7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15.75" x14ac:dyDescent="0.25">
      <c r="A22" s="17" t="s">
        <v>122</v>
      </c>
      <c r="B22" s="17"/>
      <c r="C22" s="12"/>
      <c r="D22" s="12"/>
      <c r="E22" s="12"/>
      <c r="F22" s="12"/>
      <c r="G22" s="12"/>
      <c r="H22" s="12"/>
      <c r="I22" s="12"/>
      <c r="J22" s="12"/>
    </row>
    <row r="23" spans="1:10" ht="15.75" x14ac:dyDescent="0.25">
      <c r="A23" s="12" t="s">
        <v>128</v>
      </c>
      <c r="B23" s="12"/>
      <c r="C23" s="12"/>
      <c r="D23" s="18">
        <f>-(('Forecast and WACC'!C14*14)+5000)</f>
        <v>-6910.0025479452052</v>
      </c>
      <c r="E23" s="18">
        <f>-(('Forecast and WACC'!D14*14)+5000)</f>
        <v>-7005.5026753424663</v>
      </c>
      <c r="F23" s="18">
        <f>-(('Forecast and WACC'!E14*14)+5000)</f>
        <v>-7105.7778091095897</v>
      </c>
      <c r="G23" s="18">
        <f>-(('Forecast and WACC'!F14*14)+5000)</f>
        <v>-7211.0666995650699</v>
      </c>
      <c r="H23" s="18">
        <f>-(('Forecast and WACC'!G14*14)+5000)</f>
        <v>-7321.6200345433226</v>
      </c>
      <c r="I23" s="18">
        <f>-(('Forecast and WACC'!H14*14)+5000)</f>
        <v>-7437.7010362704887</v>
      </c>
      <c r="J23" s="18">
        <f>-(('Forecast and WACC'!I14*14)+5000)</f>
        <v>-7559.5860880840137</v>
      </c>
    </row>
    <row r="24" spans="1:10" ht="15.75" x14ac:dyDescent="0.25">
      <c r="A24" s="12" t="s">
        <v>129</v>
      </c>
      <c r="B24" s="12"/>
      <c r="C24" s="12"/>
      <c r="D24" s="18">
        <f>('Forecast and WACC'!C41-'Forecast and WACC'!B41)*-1</f>
        <v>-116938.93150684932</v>
      </c>
      <c r="E24" s="18">
        <f>('Forecast and WACC'!D41-'Forecast and WACC'!C41)*-1</f>
        <v>-5846.9465753424593</v>
      </c>
      <c r="F24" s="18">
        <f>('Forecast and WACC'!E41-'Forecast and WACC'!D41)*-1</f>
        <v>-6139.293904109596</v>
      </c>
      <c r="G24" s="18">
        <f>('Forecast and WACC'!F41-'Forecast and WACC'!E41)*-1</f>
        <v>-6446.2585993151006</v>
      </c>
      <c r="H24" s="18">
        <f>('Forecast and WACC'!G41-'Forecast and WACC'!F41)*-1</f>
        <v>-6768.5715292808018</v>
      </c>
      <c r="I24" s="18">
        <f>('Forecast and WACC'!H41-'Forecast and WACC'!G41)*-1</f>
        <v>-7107.0001057448681</v>
      </c>
      <c r="J24" s="18">
        <f>('Forecast and WACC'!I41-'Forecast and WACC'!H41)*-1</f>
        <v>-7462.3501110321085</v>
      </c>
    </row>
    <row r="25" spans="1:10" ht="15.75" x14ac:dyDescent="0.25">
      <c r="A25" s="12" t="s">
        <v>130</v>
      </c>
      <c r="B25" s="12"/>
      <c r="C25" s="12"/>
      <c r="D25" s="19">
        <f>D12-C12</f>
        <v>4239.9862499999999</v>
      </c>
      <c r="E25" s="19">
        <f t="shared" ref="E25:J25" si="5">E12-D12</f>
        <v>274.49931249996735</v>
      </c>
      <c r="F25" s="19">
        <f t="shared" si="5"/>
        <v>288.22427812498972</v>
      </c>
      <c r="G25" s="19">
        <f t="shared" si="5"/>
        <v>302.6354920313097</v>
      </c>
      <c r="H25" s="19">
        <f t="shared" si="5"/>
        <v>317.76726663278714</v>
      </c>
      <c r="I25" s="19">
        <f t="shared" si="5"/>
        <v>333.65562996444351</v>
      </c>
      <c r="J25" s="19">
        <f t="shared" si="5"/>
        <v>350.33841146269515</v>
      </c>
    </row>
    <row r="26" spans="1:10" ht="15.7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ht="15.75" x14ac:dyDescent="0.25">
      <c r="A27" s="17" t="s">
        <v>123</v>
      </c>
      <c r="B27" s="17"/>
      <c r="C27" s="12"/>
      <c r="D27" s="12"/>
      <c r="E27" s="12"/>
      <c r="F27" s="12"/>
      <c r="G27" s="12"/>
      <c r="H27" s="12"/>
      <c r="I27" s="12"/>
      <c r="J27" s="12"/>
    </row>
    <row r="28" spans="1:10" ht="15.75" x14ac:dyDescent="0.25">
      <c r="A28" s="12" t="s">
        <v>131</v>
      </c>
      <c r="B28" s="12"/>
      <c r="C28" s="12"/>
      <c r="D28" s="12"/>
      <c r="E28" s="12"/>
      <c r="F28" s="12"/>
      <c r="G28" s="12"/>
      <c r="H28" s="12"/>
      <c r="I28" s="12"/>
      <c r="J28" s="18">
        <f>'Forecast and WACC'!I40</f>
        <v>188955.646088084</v>
      </c>
    </row>
    <row r="29" spans="1:10" ht="15.75" x14ac:dyDescent="0.25">
      <c r="A29" s="12" t="s">
        <v>132</v>
      </c>
      <c r="B29" s="12"/>
      <c r="C29" s="12"/>
      <c r="D29" s="12"/>
      <c r="E29" s="12"/>
      <c r="F29" s="12"/>
      <c r="G29" s="12"/>
      <c r="H29" s="12"/>
      <c r="I29" s="12"/>
      <c r="J29" s="18">
        <f>'Forecast and WACC'!I41</f>
        <v>156709.35233167425</v>
      </c>
    </row>
    <row r="30" spans="1:10" ht="15.75" x14ac:dyDescent="0.25">
      <c r="A30" s="12" t="s">
        <v>133</v>
      </c>
      <c r="B30" s="12"/>
      <c r="C30" s="12"/>
      <c r="D30" s="12"/>
      <c r="E30" s="12"/>
      <c r="F30" s="12"/>
      <c r="G30" s="12"/>
      <c r="H30" s="12"/>
      <c r="I30" s="12"/>
      <c r="J30" s="19">
        <f>-J12</f>
        <v>-6107.1066407161925</v>
      </c>
    </row>
    <row r="31" spans="1:10" ht="15.7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ht="15.7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5.75" x14ac:dyDescent="0.25">
      <c r="A33" s="12" t="s">
        <v>124</v>
      </c>
      <c r="B33" s="12"/>
      <c r="C33" s="18">
        <f t="shared" ref="C33:J33" si="6">SUM(C15:C30)</f>
        <v>-50000</v>
      </c>
      <c r="D33" s="18">
        <f t="shared" si="6"/>
        <v>-101888.98905479453</v>
      </c>
      <c r="E33" s="18">
        <f t="shared" si="6"/>
        <v>5965.5067493149418</v>
      </c>
      <c r="F33" s="18">
        <f t="shared" si="6"/>
        <v>6451.2820867806749</v>
      </c>
      <c r="G33" s="18">
        <f t="shared" si="6"/>
        <v>6961.3461911199392</v>
      </c>
      <c r="H33" s="18">
        <f t="shared" si="6"/>
        <v>7496.9135006758261</v>
      </c>
      <c r="I33" s="18">
        <f t="shared" si="6"/>
        <v>8059.2591757095797</v>
      </c>
      <c r="J33" s="18">
        <f t="shared" si="6"/>
        <v>363207.61391353724</v>
      </c>
    </row>
    <row r="34" spans="1:10" ht="15.75" x14ac:dyDescent="0.25">
      <c r="A34" s="12" t="s">
        <v>125</v>
      </c>
      <c r="B34" s="12"/>
      <c r="C34" s="20">
        <f t="shared" ref="C34:J34" si="7">-PV($C$35,C6,,C33)</f>
        <v>-50000</v>
      </c>
      <c r="D34" s="20">
        <f t="shared" si="7"/>
        <v>-96120.826327306044</v>
      </c>
      <c r="E34" s="20">
        <f t="shared" si="7"/>
        <v>5309.1846047150657</v>
      </c>
      <c r="F34" s="20">
        <f t="shared" si="7"/>
        <v>5416.4752073920017</v>
      </c>
      <c r="G34" s="20">
        <f t="shared" si="7"/>
        <v>5513.8405369534021</v>
      </c>
      <c r="H34" s="20">
        <f t="shared" si="7"/>
        <v>5601.8788525602104</v>
      </c>
      <c r="I34" s="20">
        <f t="shared" si="7"/>
        <v>5681.1542011789243</v>
      </c>
      <c r="J34" s="20">
        <f t="shared" si="7"/>
        <v>241538.65381504066</v>
      </c>
    </row>
    <row r="35" spans="1:10" ht="15.75" x14ac:dyDescent="0.25">
      <c r="A35" s="12" t="s">
        <v>84</v>
      </c>
      <c r="B35" s="12"/>
      <c r="C35" s="21">
        <f>'Forecast and WACC'!C117</f>
        <v>6.00095E-2</v>
      </c>
      <c r="D35" s="12"/>
      <c r="E35" s="12"/>
      <c r="F35" s="12"/>
      <c r="G35" s="12"/>
      <c r="H35" s="12"/>
      <c r="I35" s="12"/>
      <c r="J35" s="12"/>
    </row>
    <row r="36" spans="1:10" ht="15.75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ht="15.75" x14ac:dyDescent="0.25">
      <c r="A37" s="12" t="s">
        <v>126</v>
      </c>
      <c r="B37" s="12"/>
      <c r="C37" s="20">
        <f>SUM(C34:J34)</f>
        <v>122940.36089053423</v>
      </c>
      <c r="D37" s="12"/>
      <c r="E37" s="12"/>
      <c r="F37" s="12"/>
      <c r="G37" s="12"/>
      <c r="H37" s="12"/>
      <c r="I37" s="12"/>
      <c r="J37" s="12"/>
    </row>
    <row r="38" spans="1:10" ht="15.75" x14ac:dyDescent="0.25">
      <c r="A38" s="12" t="s">
        <v>127</v>
      </c>
      <c r="B38" s="12"/>
      <c r="C38" s="22">
        <f>IRR(C33:J33)</f>
        <v>0.17370159508340954</v>
      </c>
      <c r="D38" s="12"/>
      <c r="E38" s="12"/>
      <c r="F38" s="12"/>
      <c r="G38" s="12"/>
      <c r="H38" s="12"/>
      <c r="I38" s="12"/>
      <c r="J38" s="12"/>
    </row>
  </sheetData>
  <mergeCells count="1">
    <mergeCell ref="C2:G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Assumptions</vt:lpstr>
      <vt:lpstr>Forecast and WACC</vt:lpstr>
      <vt:lpstr>Free Cash Flows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2013-12-19T19:52:31Z</dcterms:created>
  <dcterms:modified xsi:type="dcterms:W3CDTF">2013-12-19T19:52:38Z</dcterms:modified>
</cp:coreProperties>
</file>