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15" windowWidth="1944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5" i="1" l="1"/>
  <c r="C112" i="1"/>
  <c r="D112" i="1"/>
  <c r="E112" i="1"/>
  <c r="F112" i="1"/>
  <c r="G112" i="1"/>
  <c r="H112" i="1"/>
  <c r="I112" i="1"/>
  <c r="J112" i="1"/>
  <c r="K112" i="1"/>
  <c r="B112" i="1"/>
  <c r="O93" i="1" l="1"/>
  <c r="O92" i="1"/>
  <c r="O91" i="1"/>
  <c r="O90" i="1"/>
  <c r="J97" i="1"/>
  <c r="K97" i="1"/>
  <c r="L97" i="1"/>
  <c r="J95" i="1"/>
  <c r="K95" i="1"/>
  <c r="L95" i="1"/>
  <c r="M95" i="1"/>
  <c r="M97" i="1" s="1"/>
  <c r="N95" i="1"/>
  <c r="N97" i="1" s="1"/>
  <c r="O95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F20" i="1"/>
  <c r="G20" i="1" s="1"/>
  <c r="H20" i="1" s="1"/>
  <c r="I20" i="1" s="1"/>
  <c r="J20" i="1" s="1"/>
  <c r="K20" i="1" s="1"/>
  <c r="D48" i="1"/>
  <c r="E48" i="1"/>
  <c r="C48" i="1"/>
  <c r="K45" i="1"/>
  <c r="J45" i="1"/>
  <c r="I45" i="1"/>
  <c r="H45" i="1"/>
  <c r="G45" i="1"/>
  <c r="F45" i="1"/>
  <c r="F42" i="1"/>
  <c r="G42" i="1"/>
  <c r="H42" i="1"/>
  <c r="I42" i="1"/>
  <c r="J42" i="1"/>
  <c r="K42" i="1"/>
  <c r="F34" i="1"/>
  <c r="F40" i="1" s="1"/>
  <c r="G34" i="1"/>
  <c r="G40" i="1" s="1"/>
  <c r="H34" i="1"/>
  <c r="H40" i="1" s="1"/>
  <c r="I34" i="1"/>
  <c r="I40" i="1" s="1"/>
  <c r="J34" i="1"/>
  <c r="J40" i="1" s="1"/>
  <c r="K34" i="1"/>
  <c r="K40" i="1" s="1"/>
  <c r="F32" i="1"/>
  <c r="G32" i="1"/>
  <c r="H32" i="1"/>
  <c r="I32" i="1"/>
  <c r="J32" i="1"/>
  <c r="K32" i="1"/>
  <c r="F33" i="1"/>
  <c r="G33" i="1"/>
  <c r="H33" i="1"/>
  <c r="I33" i="1"/>
  <c r="J33" i="1"/>
  <c r="K33" i="1"/>
  <c r="E32" i="1"/>
  <c r="D37" i="1"/>
  <c r="E37" i="1" s="1"/>
  <c r="F37" i="1" s="1"/>
  <c r="C37" i="1"/>
  <c r="U47" i="1"/>
  <c r="T47" i="1"/>
  <c r="H21" i="1"/>
  <c r="U54" i="1"/>
  <c r="U55" i="1"/>
  <c r="U56" i="1"/>
  <c r="U57" i="1"/>
  <c r="U58" i="1"/>
  <c r="U59" i="1"/>
  <c r="U60" i="1"/>
  <c r="U61" i="1"/>
  <c r="U62" i="1"/>
  <c r="U53" i="1"/>
  <c r="T54" i="1"/>
  <c r="T55" i="1"/>
  <c r="T56" i="1"/>
  <c r="T57" i="1"/>
  <c r="F21" i="1" s="1"/>
  <c r="F23" i="1" s="1"/>
  <c r="F24" i="1" s="1"/>
  <c r="T58" i="1"/>
  <c r="G21" i="1" s="1"/>
  <c r="T59" i="1"/>
  <c r="T60" i="1"/>
  <c r="I21" i="1" s="1"/>
  <c r="T61" i="1"/>
  <c r="J21" i="1" s="1"/>
  <c r="T62" i="1"/>
  <c r="K21" i="1" s="1"/>
  <c r="T53" i="1"/>
  <c r="S54" i="1"/>
  <c r="S55" i="1"/>
  <c r="S56" i="1"/>
  <c r="S57" i="1"/>
  <c r="S58" i="1"/>
  <c r="S59" i="1"/>
  <c r="S60" i="1"/>
  <c r="S61" i="1"/>
  <c r="S62" i="1"/>
  <c r="S53" i="1"/>
  <c r="F19" i="1"/>
  <c r="G19" i="1"/>
  <c r="H19" i="1"/>
  <c r="I19" i="1"/>
  <c r="J19" i="1"/>
  <c r="K19" i="1"/>
  <c r="F18" i="1"/>
  <c r="G18" i="1"/>
  <c r="H18" i="1"/>
  <c r="I18" i="1"/>
  <c r="J18" i="1"/>
  <c r="K18" i="1"/>
  <c r="G16" i="1"/>
  <c r="H16" i="1"/>
  <c r="I16" i="1"/>
  <c r="J16" i="1"/>
  <c r="K16" i="1"/>
  <c r="F16" i="1"/>
  <c r="G15" i="1"/>
  <c r="H15" i="1"/>
  <c r="I15" i="1"/>
  <c r="J15" i="1"/>
  <c r="K15" i="1"/>
  <c r="F15" i="1"/>
  <c r="K14" i="1"/>
  <c r="J14" i="1"/>
  <c r="I14" i="1"/>
  <c r="H14" i="1"/>
  <c r="G14" i="1"/>
  <c r="F14" i="1"/>
  <c r="G13" i="1"/>
  <c r="H13" i="1"/>
  <c r="I13" i="1"/>
  <c r="J13" i="1"/>
  <c r="K13" i="1"/>
  <c r="F13" i="1"/>
  <c r="K11" i="1"/>
  <c r="J11" i="1"/>
  <c r="I11" i="1"/>
  <c r="H11" i="1"/>
  <c r="G11" i="1"/>
  <c r="F11" i="1"/>
  <c r="O97" i="1" l="1"/>
  <c r="K23" i="1"/>
  <c r="K24" i="1" s="1"/>
  <c r="K25" i="1" s="1"/>
  <c r="J23" i="1"/>
  <c r="J24" i="1" s="1"/>
  <c r="I23" i="1"/>
  <c r="I24" i="1" s="1"/>
  <c r="G23" i="1"/>
  <c r="G24" i="1" s="1"/>
  <c r="G25" i="1" s="1"/>
  <c r="H23" i="1"/>
  <c r="H24" i="1" s="1"/>
  <c r="H25" i="1" s="1"/>
  <c r="F38" i="1"/>
  <c r="G37" i="1"/>
  <c r="I25" i="1"/>
  <c r="J25" i="1"/>
  <c r="F25" i="1"/>
  <c r="B21" i="1"/>
  <c r="B97" i="1"/>
  <c r="C33" i="1"/>
  <c r="D33" i="1"/>
  <c r="D73" i="1" s="1"/>
  <c r="E33" i="1"/>
  <c r="B33" i="1"/>
  <c r="B73" i="1" s="1"/>
  <c r="B32" i="1"/>
  <c r="C42" i="1"/>
  <c r="D42" i="1"/>
  <c r="E42" i="1"/>
  <c r="B42" i="1"/>
  <c r="F86" i="1"/>
  <c r="F85" i="1"/>
  <c r="F84" i="1"/>
  <c r="H85" i="1"/>
  <c r="A87" i="1"/>
  <c r="A86" i="1"/>
  <c r="A85" i="1"/>
  <c r="A84" i="1"/>
  <c r="G26" i="1" l="1"/>
  <c r="G43" i="1"/>
  <c r="H26" i="1"/>
  <c r="H43" i="1"/>
  <c r="K26" i="1"/>
  <c r="K43" i="1"/>
  <c r="J26" i="1"/>
  <c r="J43" i="1"/>
  <c r="F26" i="1"/>
  <c r="F48" i="1" s="1"/>
  <c r="F43" i="1"/>
  <c r="I26" i="1"/>
  <c r="I43" i="1"/>
  <c r="H37" i="1"/>
  <c r="G38" i="1"/>
  <c r="E73" i="1"/>
  <c r="I85" i="1"/>
  <c r="I86" i="1"/>
  <c r="H86" i="1"/>
  <c r="G85" i="1"/>
  <c r="C73" i="1"/>
  <c r="C45" i="1"/>
  <c r="D45" i="1" s="1"/>
  <c r="E45" i="1" s="1"/>
  <c r="E21" i="1"/>
  <c r="G86" i="1"/>
  <c r="B63" i="1"/>
  <c r="C62" i="1"/>
  <c r="C21" i="1"/>
  <c r="D21" i="1"/>
  <c r="F51" i="1" l="1"/>
  <c r="G48" i="1"/>
  <c r="I37" i="1"/>
  <c r="H38" i="1"/>
  <c r="B54" i="1"/>
  <c r="E14" i="1"/>
  <c r="AC5" i="1"/>
  <c r="D14" i="1"/>
  <c r="AC4" i="1"/>
  <c r="S20" i="1"/>
  <c r="S31" i="1" s="1"/>
  <c r="S42" i="1" s="1"/>
  <c r="S21" i="1"/>
  <c r="S32" i="1" s="1"/>
  <c r="S43" i="1" s="1"/>
  <c r="R26" i="1"/>
  <c r="R27" i="1"/>
  <c r="R28" i="1"/>
  <c r="R29" i="1"/>
  <c r="R25" i="1"/>
  <c r="T31" i="1"/>
  <c r="T42" i="1" s="1"/>
  <c r="T25" i="1"/>
  <c r="T36" i="1" s="1"/>
  <c r="AC3" i="1"/>
  <c r="C14" i="1" s="1"/>
  <c r="T15" i="1"/>
  <c r="T26" i="1" s="1"/>
  <c r="T37" i="1" s="1"/>
  <c r="T16" i="1"/>
  <c r="T27" i="1" s="1"/>
  <c r="T38" i="1" s="1"/>
  <c r="T17" i="1"/>
  <c r="T28" i="1" s="1"/>
  <c r="T39" i="1" s="1"/>
  <c r="T18" i="1"/>
  <c r="T29" i="1" s="1"/>
  <c r="T40" i="1" s="1"/>
  <c r="T20" i="1"/>
  <c r="T21" i="1"/>
  <c r="T32" i="1" s="1"/>
  <c r="T43" i="1" s="1"/>
  <c r="T14" i="1"/>
  <c r="S15" i="1"/>
  <c r="S26" i="1" s="1"/>
  <c r="S37" i="1" s="1"/>
  <c r="S16" i="1"/>
  <c r="S27" i="1" s="1"/>
  <c r="S38" i="1" s="1"/>
  <c r="S14" i="1"/>
  <c r="S25" i="1" s="1"/>
  <c r="S36" i="1" s="1"/>
  <c r="H48" i="1" l="1"/>
  <c r="G51" i="1"/>
  <c r="I38" i="1"/>
  <c r="J37" i="1"/>
  <c r="B14" i="1"/>
  <c r="AC2" i="1"/>
  <c r="V43" i="1"/>
  <c r="U43" i="1"/>
  <c r="V42" i="1"/>
  <c r="U42" i="1"/>
  <c r="U40" i="1"/>
  <c r="U39" i="1"/>
  <c r="V38" i="1"/>
  <c r="U38" i="1"/>
  <c r="V37" i="1"/>
  <c r="U37" i="1"/>
  <c r="V36" i="1"/>
  <c r="U36" i="1"/>
  <c r="V32" i="1"/>
  <c r="U32" i="1"/>
  <c r="V31" i="1"/>
  <c r="U31" i="1"/>
  <c r="U29" i="1"/>
  <c r="V29" i="1"/>
  <c r="U28" i="1"/>
  <c r="V27" i="1"/>
  <c r="U27" i="1"/>
  <c r="V26" i="1"/>
  <c r="U26" i="1"/>
  <c r="V25" i="1"/>
  <c r="U25" i="1"/>
  <c r="V21" i="1"/>
  <c r="V20" i="1"/>
  <c r="V18" i="1"/>
  <c r="V16" i="1"/>
  <c r="V15" i="1"/>
  <c r="V14" i="1"/>
  <c r="V4" i="1"/>
  <c r="V5" i="1"/>
  <c r="V7" i="1"/>
  <c r="V9" i="1"/>
  <c r="V10" i="1"/>
  <c r="V3" i="1"/>
  <c r="U21" i="1"/>
  <c r="U20" i="1"/>
  <c r="U18" i="1"/>
  <c r="U17" i="1"/>
  <c r="U16" i="1"/>
  <c r="U15" i="1"/>
  <c r="U14" i="1"/>
  <c r="U4" i="1"/>
  <c r="U5" i="1"/>
  <c r="U6" i="1"/>
  <c r="U7" i="1"/>
  <c r="U3" i="1"/>
  <c r="U10" i="1"/>
  <c r="U9" i="1"/>
  <c r="S7" i="1"/>
  <c r="S18" i="1" s="1"/>
  <c r="S29" i="1" s="1"/>
  <c r="S40" i="1" s="1"/>
  <c r="V40" i="1" s="1"/>
  <c r="S6" i="1"/>
  <c r="S17" i="1" s="1"/>
  <c r="S28" i="1" s="1"/>
  <c r="S39" i="1" s="1"/>
  <c r="V39" i="1" s="1"/>
  <c r="H51" i="1" l="1"/>
  <c r="I48" i="1"/>
  <c r="J38" i="1"/>
  <c r="K37" i="1"/>
  <c r="K38" i="1" s="1"/>
  <c r="V6" i="1"/>
  <c r="V28" i="1"/>
  <c r="V33" i="1" s="1"/>
  <c r="D13" i="1" s="1"/>
  <c r="D15" i="1" s="1"/>
  <c r="V17" i="1"/>
  <c r="U44" i="1"/>
  <c r="E11" i="1" s="1"/>
  <c r="V44" i="1"/>
  <c r="E13" i="1" s="1"/>
  <c r="E15" i="1" s="1"/>
  <c r="U33" i="1"/>
  <c r="D11" i="1" s="1"/>
  <c r="V22" i="1"/>
  <c r="C13" i="1" s="1"/>
  <c r="C15" i="1" s="1"/>
  <c r="V11" i="1"/>
  <c r="B13" i="1" s="1"/>
  <c r="U22" i="1"/>
  <c r="C11" i="1" s="1"/>
  <c r="U11" i="1"/>
  <c r="B11" i="1" s="1"/>
  <c r="I51" i="1" l="1"/>
  <c r="J48" i="1"/>
  <c r="C38" i="1"/>
  <c r="B20" i="1"/>
  <c r="C20" i="1" s="1"/>
  <c r="D20" i="1" s="1"/>
  <c r="E20" i="1" s="1"/>
  <c r="C32" i="1"/>
  <c r="C19" i="1"/>
  <c r="C18" i="1"/>
  <c r="D32" i="1"/>
  <c r="B19" i="1"/>
  <c r="E16" i="1"/>
  <c r="E18" i="1"/>
  <c r="E19" i="1"/>
  <c r="D19" i="1"/>
  <c r="D18" i="1"/>
  <c r="D16" i="1"/>
  <c r="C16" i="1"/>
  <c r="B38" i="1"/>
  <c r="F7" i="1"/>
  <c r="F5" i="1"/>
  <c r="F4" i="1"/>
  <c r="F6" i="1" s="1"/>
  <c r="B18" i="1"/>
  <c r="B15" i="1"/>
  <c r="D3" i="1"/>
  <c r="D4" i="1"/>
  <c r="D5" i="1"/>
  <c r="D6" i="1"/>
  <c r="D7" i="1"/>
  <c r="D8" i="1"/>
  <c r="D2" i="1"/>
  <c r="J51" i="1" l="1"/>
  <c r="K48" i="1"/>
  <c r="K51" i="1" s="1"/>
  <c r="I84" i="1"/>
  <c r="E34" i="1"/>
  <c r="H84" i="1"/>
  <c r="G84" i="1"/>
  <c r="B23" i="1"/>
  <c r="D38" i="1"/>
  <c r="D34" i="1"/>
  <c r="C34" i="1"/>
  <c r="C23" i="1"/>
  <c r="C24" i="1" s="1"/>
  <c r="B16" i="1"/>
  <c r="E23" i="1"/>
  <c r="E24" i="1" s="1"/>
  <c r="E25" i="1" s="1"/>
  <c r="D23" i="1"/>
  <c r="D24" i="1" s="1"/>
  <c r="F8" i="1"/>
  <c r="B24" i="1" l="1"/>
  <c r="B25" i="1" s="1"/>
  <c r="C40" i="1"/>
  <c r="D40" i="1"/>
  <c r="E38" i="1"/>
  <c r="E40" i="1" s="1"/>
  <c r="C25" i="1"/>
  <c r="C43" i="1" s="1"/>
  <c r="C71" i="1" s="1"/>
  <c r="D25" i="1"/>
  <c r="D43" i="1" s="1"/>
  <c r="D71" i="1" s="1"/>
  <c r="E26" i="1"/>
  <c r="E75" i="1" s="1"/>
  <c r="E43" i="1"/>
  <c r="D26" i="1" l="1"/>
  <c r="D74" i="1" s="1"/>
  <c r="C70" i="1"/>
  <c r="E71" i="1"/>
  <c r="E74" i="1"/>
  <c r="B26" i="1"/>
  <c r="B48" i="1" s="1"/>
  <c r="B72" i="1" s="1"/>
  <c r="E70" i="1"/>
  <c r="D75" i="1"/>
  <c r="D70" i="1"/>
  <c r="H87" i="1"/>
  <c r="I87" i="1"/>
  <c r="I95" i="1"/>
  <c r="C26" i="1"/>
  <c r="B43" i="1"/>
  <c r="B71" i="1" s="1"/>
  <c r="H95" i="1" l="1"/>
  <c r="H97" i="1" s="1"/>
  <c r="B101" i="1" s="1"/>
  <c r="F95" i="1"/>
  <c r="I97" i="1"/>
  <c r="G95" i="1"/>
  <c r="C75" i="1"/>
  <c r="C74" i="1"/>
  <c r="B76" i="1"/>
  <c r="B75" i="1"/>
  <c r="C51" i="1"/>
  <c r="C76" i="1"/>
  <c r="C72" i="1"/>
  <c r="D51" i="1"/>
  <c r="D72" i="1"/>
  <c r="D76" i="1"/>
  <c r="E72" i="1"/>
  <c r="E76" i="1"/>
  <c r="B55" i="1"/>
  <c r="D55" i="1" s="1"/>
  <c r="B51" i="1"/>
  <c r="G87" i="1"/>
  <c r="G97" i="1" s="1"/>
  <c r="F87" i="1"/>
  <c r="E51" i="1"/>
  <c r="F97" i="1" l="1"/>
  <c r="B57" i="1"/>
  <c r="B58" i="1" s="1"/>
  <c r="B64" i="1" s="1"/>
  <c r="B66" i="1" s="1"/>
  <c r="D54" i="1"/>
  <c r="J98" i="1" l="1"/>
  <c r="I98" i="1"/>
  <c r="K98" i="1"/>
  <c r="L98" i="1"/>
  <c r="M98" i="1"/>
  <c r="N98" i="1"/>
  <c r="O98" i="1"/>
  <c r="H98" i="1"/>
  <c r="B98" i="1"/>
  <c r="G98" i="1"/>
  <c r="F98" i="1"/>
  <c r="B34" i="1"/>
  <c r="B100" i="1" l="1"/>
  <c r="B40" i="1"/>
  <c r="B74" i="1" s="1"/>
  <c r="B70" i="1"/>
</calcChain>
</file>

<file path=xl/sharedStrings.xml><?xml version="1.0" encoding="utf-8"?>
<sst xmlns="http://schemas.openxmlformats.org/spreadsheetml/2006/main" count="141" uniqueCount="98">
  <si>
    <t>Product Cost</t>
  </si>
  <si>
    <t>Labor</t>
  </si>
  <si>
    <t>Sales</t>
  </si>
  <si>
    <t>Packaging</t>
  </si>
  <si>
    <t>Rent</t>
  </si>
  <si>
    <t xml:space="preserve">Operating </t>
  </si>
  <si>
    <t>EBITDA</t>
  </si>
  <si>
    <t>Operating Expenses</t>
  </si>
  <si>
    <t xml:space="preserve">     Product</t>
  </si>
  <si>
    <t xml:space="preserve">     Labor</t>
  </si>
  <si>
    <t>Total</t>
  </si>
  <si>
    <t>Gross Profit</t>
  </si>
  <si>
    <t>Operating Expense</t>
  </si>
  <si>
    <t>Packaging Cost</t>
  </si>
  <si>
    <t>Total Expenses</t>
  </si>
  <si>
    <t>Deprecitaion</t>
  </si>
  <si>
    <t>Interest</t>
  </si>
  <si>
    <t>Incom Before Tax</t>
  </si>
  <si>
    <t>Tax</t>
  </si>
  <si>
    <t>Assets</t>
  </si>
  <si>
    <t>Cash</t>
  </si>
  <si>
    <t>A / R</t>
  </si>
  <si>
    <t>Inventory</t>
  </si>
  <si>
    <t xml:space="preserve">       Current Assets</t>
  </si>
  <si>
    <t>Deprication</t>
  </si>
  <si>
    <t>Total PP&amp;E</t>
  </si>
  <si>
    <t>Total Assets</t>
  </si>
  <si>
    <t>Accounts Payable</t>
  </si>
  <si>
    <t>Taxes Payable</t>
  </si>
  <si>
    <t>Utilities</t>
  </si>
  <si>
    <t>Long Term Debt</t>
  </si>
  <si>
    <t>Stockholders Equity</t>
  </si>
  <si>
    <t>RE</t>
  </si>
  <si>
    <t>Additional Financing</t>
  </si>
  <si>
    <t>Total Liabilties</t>
  </si>
  <si>
    <t>2 dozen minis</t>
  </si>
  <si>
    <t>1 dozen reg</t>
  </si>
  <si>
    <t>6 in cake</t>
  </si>
  <si>
    <t>8 in cake</t>
  </si>
  <si>
    <t>1 dozen Specialty</t>
  </si>
  <si>
    <t>Net Income</t>
  </si>
  <si>
    <t>1 reg cupcake</t>
  </si>
  <si>
    <t>1 Specialty cupcake</t>
  </si>
  <si>
    <t>Price</t>
  </si>
  <si>
    <t>Cost</t>
  </si>
  <si>
    <t># Sold</t>
  </si>
  <si>
    <t>Revenue</t>
  </si>
  <si>
    <t>PP&amp;E (Trailer &amp; Oven)</t>
  </si>
  <si>
    <t>CoGS</t>
  </si>
  <si>
    <t>Laborers</t>
  </si>
  <si>
    <t>Hours a Week</t>
  </si>
  <si>
    <t>Weeks</t>
  </si>
  <si>
    <t>Wage</t>
  </si>
  <si>
    <t>Yearly Cost</t>
  </si>
  <si>
    <t>Inv Turnover</t>
  </si>
  <si>
    <t>Rec Col Per</t>
  </si>
  <si>
    <t>days</t>
  </si>
  <si>
    <t>Pay Period</t>
  </si>
  <si>
    <t>Dividend</t>
  </si>
  <si>
    <t>PV</t>
  </si>
  <si>
    <t>Rate</t>
  </si>
  <si>
    <t>PMT</t>
  </si>
  <si>
    <t>FV</t>
  </si>
  <si>
    <t>Payment</t>
  </si>
  <si>
    <t>To Interest</t>
  </si>
  <si>
    <t>To Principle</t>
  </si>
  <si>
    <t>Liabilities</t>
  </si>
  <si>
    <t>Beta</t>
  </si>
  <si>
    <t>Debt</t>
  </si>
  <si>
    <t>Equity</t>
  </si>
  <si>
    <t>unlevered Beta</t>
  </si>
  <si>
    <t>Tax Rate</t>
  </si>
  <si>
    <t>Target</t>
  </si>
  <si>
    <t>Relevered Beta</t>
  </si>
  <si>
    <t>Actual</t>
  </si>
  <si>
    <t>Interest Rate</t>
  </si>
  <si>
    <t>Treasure Bills</t>
  </si>
  <si>
    <t>S&amp;P 500 Return</t>
  </si>
  <si>
    <t>WACC</t>
  </si>
  <si>
    <t>Cost of Equity</t>
  </si>
  <si>
    <t>(Beta From Cheesecake Factory)</t>
  </si>
  <si>
    <t>Capital Expenditures</t>
  </si>
  <si>
    <t>Trailer</t>
  </si>
  <si>
    <t>Oven</t>
  </si>
  <si>
    <t>Working Capital</t>
  </si>
  <si>
    <t>Total Cash Flows</t>
  </si>
  <si>
    <t>Cash From Operations</t>
  </si>
  <si>
    <t>Present Value</t>
  </si>
  <si>
    <t>NPV</t>
  </si>
  <si>
    <t>IRR</t>
  </si>
  <si>
    <t>Liquidation of W / C</t>
  </si>
  <si>
    <t>Current Ratio</t>
  </si>
  <si>
    <t>Acid Test</t>
  </si>
  <si>
    <t>Debt ratios</t>
  </si>
  <si>
    <t>Invertory Turnover</t>
  </si>
  <si>
    <t>Profit over assets(ROA)</t>
  </si>
  <si>
    <t>Return on Sales</t>
  </si>
  <si>
    <t>Retrun on Equity (ROE)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</si>
</sst>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9" fontId="0" fillId="0" borderId="0" xfId="0" applyNumberFormat="1"/>
    <xf numFmtId="44" fontId="0" fillId="0" borderId="0" xfId="1" applyFont="1"/>
    <xf numFmtId="44" fontId="0" fillId="0" borderId="0" xfId="0" applyNumberFormat="1"/>
    <xf numFmtId="44" fontId="2" fillId="0" borderId="1" xfId="1" applyFont="1" applyBorder="1"/>
    <xf numFmtId="44" fontId="0" fillId="0" borderId="0" xfId="1" applyFont="1" applyBorder="1"/>
    <xf numFmtId="44" fontId="0" fillId="0" borderId="1" xfId="1" applyFont="1" applyBorder="1"/>
    <xf numFmtId="44" fontId="0" fillId="0" borderId="2" xfId="1" applyFont="1" applyBorder="1"/>
    <xf numFmtId="6" fontId="0" fillId="0" borderId="0" xfId="0" applyNumberFormat="1"/>
    <xf numFmtId="8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8" fontId="0" fillId="0" borderId="0" xfId="1" applyNumberFormat="1" applyFont="1" applyBorder="1"/>
    <xf numFmtId="8" fontId="0" fillId="0" borderId="0" xfId="0" applyNumberFormat="1" applyBorder="1"/>
    <xf numFmtId="8" fontId="0" fillId="0" borderId="7" xfId="0" applyNumberFormat="1" applyBorder="1"/>
    <xf numFmtId="8" fontId="0" fillId="0" borderId="3" xfId="0" applyNumberFormat="1" applyBorder="1"/>
    <xf numFmtId="8" fontId="0" fillId="0" borderId="4" xfId="0" applyNumberFormat="1" applyBorder="1"/>
    <xf numFmtId="8" fontId="0" fillId="0" borderId="5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6" xfId="0" applyFont="1" applyBorder="1"/>
    <xf numFmtId="6" fontId="0" fillId="0" borderId="0" xfId="1" applyNumberFormat="1" applyFont="1" applyBorder="1"/>
    <xf numFmtId="44" fontId="0" fillId="0" borderId="7" xfId="1" applyFont="1" applyBorder="1"/>
    <xf numFmtId="44" fontId="0" fillId="0" borderId="9" xfId="1" applyFont="1" applyBorder="1"/>
    <xf numFmtId="44" fontId="0" fillId="0" borderId="13" xfId="1" applyFont="1" applyBorder="1"/>
    <xf numFmtId="44" fontId="2" fillId="0" borderId="0" xfId="1" applyFont="1" applyBorder="1"/>
    <xf numFmtId="44" fontId="2" fillId="0" borderId="7" xfId="1" applyFont="1" applyBorder="1"/>
    <xf numFmtId="0" fontId="2" fillId="0" borderId="3" xfId="0" applyFont="1" applyBorder="1"/>
    <xf numFmtId="6" fontId="2" fillId="0" borderId="4" xfId="1" applyNumberFormat="1" applyFont="1" applyBorder="1"/>
    <xf numFmtId="6" fontId="0" fillId="0" borderId="4" xfId="0" applyNumberFormat="1" applyBorder="1"/>
    <xf numFmtId="44" fontId="0" fillId="0" borderId="0" xfId="0" applyNumberFormat="1" applyBorder="1"/>
    <xf numFmtId="44" fontId="0" fillId="0" borderId="7" xfId="0" applyNumberFormat="1" applyBorder="1"/>
    <xf numFmtId="8" fontId="0" fillId="0" borderId="7" xfId="1" applyNumberFormat="1" applyFont="1" applyBorder="1"/>
    <xf numFmtId="2" fontId="0" fillId="0" borderId="4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9" fontId="0" fillId="0" borderId="0" xfId="2" applyFont="1" applyBorder="1"/>
    <xf numFmtId="9" fontId="0" fillId="0" borderId="7" xfId="0" applyNumberFormat="1" applyBorder="1"/>
    <xf numFmtId="9" fontId="0" fillId="0" borderId="0" xfId="0" applyNumberFormat="1" applyBorder="1"/>
    <xf numFmtId="2" fontId="0" fillId="0" borderId="0" xfId="0" applyNumberFormat="1" applyBorder="1"/>
    <xf numFmtId="10" fontId="0" fillId="0" borderId="0" xfId="2" applyNumberFormat="1" applyFont="1" applyBorder="1"/>
    <xf numFmtId="10" fontId="0" fillId="0" borderId="0" xfId="0" applyNumberFormat="1" applyBorder="1"/>
    <xf numFmtId="10" fontId="2" fillId="0" borderId="0" xfId="0" applyNumberFormat="1" applyFont="1" applyBorder="1"/>
    <xf numFmtId="0" fontId="0" fillId="0" borderId="6" xfId="0" applyBorder="1" applyAlignment="1">
      <alignment horizontal="left" indent="1"/>
    </xf>
    <xf numFmtId="44" fontId="0" fillId="0" borderId="0" xfId="1" applyFont="1" applyBorder="1" applyAlignment="1">
      <alignment horizontal="left" indent="1"/>
    </xf>
    <xf numFmtId="10" fontId="0" fillId="0" borderId="1" xfId="0" applyNumberFormat="1" applyBorder="1"/>
    <xf numFmtId="9" fontId="0" fillId="0" borderId="4" xfId="2" applyFont="1" applyBorder="1"/>
    <xf numFmtId="9" fontId="0" fillId="0" borderId="5" xfId="2" applyFont="1" applyBorder="1"/>
    <xf numFmtId="9" fontId="0" fillId="0" borderId="7" xfId="2" applyFont="1" applyBorder="1"/>
    <xf numFmtId="43" fontId="0" fillId="0" borderId="0" xfId="3" applyFont="1" applyBorder="1"/>
    <xf numFmtId="43" fontId="0" fillId="0" borderId="7" xfId="3" applyFont="1" applyBorder="1"/>
    <xf numFmtId="9" fontId="0" fillId="0" borderId="1" xfId="2" applyFont="1" applyBorder="1"/>
    <xf numFmtId="9" fontId="0" fillId="0" borderId="9" xfId="2" applyFont="1" applyBorder="1"/>
    <xf numFmtId="9" fontId="0" fillId="0" borderId="3" xfId="2" applyFont="1" applyBorder="1"/>
    <xf numFmtId="9" fontId="0" fillId="0" borderId="6" xfId="2" applyFont="1" applyBorder="1"/>
    <xf numFmtId="43" fontId="0" fillId="0" borderId="6" xfId="3" applyFont="1" applyBorder="1"/>
    <xf numFmtId="9" fontId="0" fillId="0" borderId="8" xfId="2" applyFont="1" applyBorder="1"/>
    <xf numFmtId="44" fontId="0" fillId="0" borderId="0" xfId="1" applyFont="1" applyFill="1" applyBorder="1"/>
    <xf numFmtId="8" fontId="0" fillId="0" borderId="0" xfId="1" applyNumberFormat="1" applyFont="1" applyFill="1" applyBorder="1"/>
    <xf numFmtId="8" fontId="0" fillId="0" borderId="7" xfId="1" applyNumberFormat="1" applyFont="1" applyFill="1" applyBorder="1"/>
    <xf numFmtId="0" fontId="0" fillId="0" borderId="14" xfId="0" applyBorder="1"/>
    <xf numFmtId="1" fontId="0" fillId="0" borderId="2" xfId="0" applyNumberFormat="1" applyBorder="1"/>
    <xf numFmtId="1" fontId="0" fillId="0" borderId="2" xfId="1" applyNumberFormat="1" applyFont="1" applyBorder="1"/>
    <xf numFmtId="1" fontId="0" fillId="0" borderId="2" xfId="0" applyNumberFormat="1" applyFill="1" applyBorder="1"/>
    <xf numFmtId="1" fontId="0" fillId="0" borderId="13" xfId="0" applyNumberFormat="1" applyFill="1" applyBorder="1"/>
    <xf numFmtId="8" fontId="2" fillId="0" borderId="1" xfId="0" applyNumberFormat="1" applyFont="1" applyBorder="1"/>
    <xf numFmtId="8" fontId="2" fillId="0" borderId="9" xfId="0" applyNumberFormat="1" applyFont="1" applyBorder="1"/>
    <xf numFmtId="0" fontId="0" fillId="0" borderId="4" xfId="0" applyFill="1" applyBorder="1"/>
    <xf numFmtId="0" fontId="0" fillId="0" borderId="5" xfId="0" applyFill="1" applyBorder="1"/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tabSelected="1" topLeftCell="K1" zoomScale="80" zoomScaleNormal="80" workbookViewId="0">
      <selection activeCell="J107" sqref="J107"/>
    </sheetView>
  </sheetViews>
  <sheetFormatPr defaultRowHeight="15" x14ac:dyDescent="0.25"/>
  <cols>
    <col min="1" max="1" width="20.5703125" bestFit="1" customWidth="1"/>
    <col min="2" max="2" width="13.28515625" bestFit="1" customWidth="1"/>
    <col min="3" max="3" width="15" bestFit="1" customWidth="1"/>
    <col min="4" max="5" width="13.28515625" bestFit="1" customWidth="1"/>
    <col min="6" max="6" width="13.42578125" bestFit="1" customWidth="1"/>
    <col min="7" max="11" width="13.28515625" bestFit="1" customWidth="1"/>
    <col min="12" max="14" width="12.5703125" customWidth="1"/>
    <col min="15" max="15" width="13" bestFit="1" customWidth="1"/>
    <col min="16" max="16" width="13.42578125" bestFit="1" customWidth="1"/>
    <col min="17" max="17" width="20.28515625" bestFit="1" customWidth="1"/>
    <col min="18" max="18" width="11.140625" bestFit="1" customWidth="1"/>
    <col min="19" max="19" width="12.85546875" bestFit="1" customWidth="1"/>
    <col min="20" max="20" width="11.140625" bestFit="1" customWidth="1"/>
    <col min="21" max="21" width="11.5703125" bestFit="1" customWidth="1"/>
    <col min="22" max="22" width="10" bestFit="1" customWidth="1"/>
    <col min="25" max="25" width="13.28515625" bestFit="1" customWidth="1"/>
    <col min="28" max="29" width="11.5703125" bestFit="1" customWidth="1"/>
  </cols>
  <sheetData>
    <row r="1" spans="1:29" x14ac:dyDescent="0.25">
      <c r="R1" s="10">
        <v>2012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</row>
    <row r="2" spans="1:29" x14ac:dyDescent="0.25">
      <c r="A2" t="s">
        <v>2</v>
      </c>
      <c r="C2" s="2">
        <v>1100000</v>
      </c>
      <c r="D2" s="3">
        <f>C2/25</f>
        <v>44000</v>
      </c>
      <c r="R2" t="s">
        <v>43</v>
      </c>
      <c r="S2" t="s">
        <v>44</v>
      </c>
      <c r="T2" t="s">
        <v>45</v>
      </c>
      <c r="U2" t="s">
        <v>46</v>
      </c>
      <c r="V2" t="s">
        <v>48</v>
      </c>
      <c r="X2">
        <v>2012</v>
      </c>
      <c r="Y2">
        <v>2</v>
      </c>
      <c r="Z2">
        <v>60</v>
      </c>
      <c r="AA2">
        <v>52</v>
      </c>
      <c r="AB2" s="2">
        <v>7.25</v>
      </c>
      <c r="AC2" s="9">
        <f>Y2*Z2*AA2*AB2</f>
        <v>45240</v>
      </c>
    </row>
    <row r="3" spans="1:29" x14ac:dyDescent="0.25">
      <c r="A3" t="s">
        <v>0</v>
      </c>
      <c r="B3" s="1">
        <v>0.34</v>
      </c>
      <c r="C3" s="2">
        <v>374000</v>
      </c>
      <c r="D3" s="3">
        <f t="shared" ref="D3:D8" si="0">C3/25</f>
        <v>14960</v>
      </c>
      <c r="Q3" t="s">
        <v>39</v>
      </c>
      <c r="R3" s="9">
        <v>39</v>
      </c>
      <c r="S3" s="9">
        <v>12</v>
      </c>
      <c r="T3">
        <v>1000</v>
      </c>
      <c r="U3" s="8">
        <f>T3*R3</f>
        <v>39000</v>
      </c>
      <c r="V3" s="8">
        <f>S3*T3</f>
        <v>12000</v>
      </c>
      <c r="X3">
        <v>2013</v>
      </c>
      <c r="Y3">
        <v>2.5</v>
      </c>
      <c r="Z3">
        <v>60</v>
      </c>
      <c r="AA3">
        <v>52</v>
      </c>
      <c r="AB3" s="2">
        <v>7.25</v>
      </c>
      <c r="AC3" s="9">
        <f>Y3*Z3*AA3*AB3</f>
        <v>56550</v>
      </c>
    </row>
    <row r="4" spans="1:29" x14ac:dyDescent="0.25">
      <c r="A4" t="s">
        <v>3</v>
      </c>
      <c r="B4" s="1">
        <v>0.05</v>
      </c>
      <c r="C4" s="2">
        <v>55000</v>
      </c>
      <c r="D4" s="3">
        <f t="shared" si="0"/>
        <v>2200</v>
      </c>
      <c r="F4" s="3">
        <f>B11*0.35</f>
        <v>85575</v>
      </c>
      <c r="G4" s="3"/>
      <c r="H4" s="3"/>
      <c r="I4" s="3"/>
      <c r="J4" s="3"/>
      <c r="K4" s="3"/>
      <c r="L4" s="3"/>
      <c r="M4" s="3"/>
      <c r="N4" s="3"/>
      <c r="O4" s="3"/>
      <c r="Q4" t="s">
        <v>42</v>
      </c>
      <c r="R4" s="8">
        <v>3</v>
      </c>
      <c r="S4" s="9">
        <v>1.75</v>
      </c>
      <c r="T4">
        <v>3500</v>
      </c>
      <c r="U4" s="8">
        <f>T4*R4</f>
        <v>10500</v>
      </c>
      <c r="V4" s="8">
        <f t="shared" ref="V4:V10" si="1">S4*T4</f>
        <v>6125</v>
      </c>
      <c r="X4">
        <v>2014</v>
      </c>
      <c r="Y4">
        <v>3</v>
      </c>
      <c r="Z4">
        <v>50</v>
      </c>
      <c r="AA4">
        <v>52</v>
      </c>
      <c r="AB4" s="2">
        <v>7.25</v>
      </c>
      <c r="AC4" s="9">
        <f>Y4*Z4*AA4*AB4</f>
        <v>56550</v>
      </c>
    </row>
    <row r="5" spans="1:29" x14ac:dyDescent="0.25">
      <c r="A5" t="s">
        <v>1</v>
      </c>
      <c r="B5" s="1">
        <v>0.2</v>
      </c>
      <c r="C5" s="2">
        <v>220000</v>
      </c>
      <c r="D5" s="3">
        <f t="shared" si="0"/>
        <v>8800</v>
      </c>
      <c r="F5">
        <f>360/30</f>
        <v>12</v>
      </c>
      <c r="Q5" t="s">
        <v>41</v>
      </c>
      <c r="R5" s="9">
        <v>2.5</v>
      </c>
      <c r="S5" s="9">
        <v>1.5</v>
      </c>
      <c r="T5">
        <v>5000</v>
      </c>
      <c r="U5" s="9">
        <f>R5*T5</f>
        <v>12500</v>
      </c>
      <c r="V5" s="8">
        <f t="shared" si="1"/>
        <v>7500</v>
      </c>
      <c r="X5">
        <v>2015</v>
      </c>
      <c r="Y5">
        <v>3</v>
      </c>
      <c r="Z5">
        <v>55</v>
      </c>
      <c r="AA5">
        <v>52</v>
      </c>
      <c r="AB5" s="2">
        <v>7.25</v>
      </c>
      <c r="AC5" s="9">
        <f>Y5*Z5*AA5*AB5</f>
        <v>62205</v>
      </c>
    </row>
    <row r="6" spans="1:29" x14ac:dyDescent="0.25">
      <c r="A6" t="s">
        <v>4</v>
      </c>
      <c r="B6" s="1">
        <v>0.13</v>
      </c>
      <c r="C6" s="2">
        <v>139000</v>
      </c>
      <c r="D6" s="3">
        <f t="shared" si="0"/>
        <v>5560</v>
      </c>
      <c r="F6" s="3">
        <f>F4/F5</f>
        <v>7131.25</v>
      </c>
      <c r="G6" s="3"/>
      <c r="H6" s="3"/>
      <c r="I6" s="3"/>
      <c r="J6" s="3"/>
      <c r="K6" s="3"/>
      <c r="L6" s="3"/>
      <c r="M6" s="3"/>
      <c r="N6" s="3"/>
      <c r="O6" s="3"/>
      <c r="Q6" t="s">
        <v>36</v>
      </c>
      <c r="R6" s="9">
        <v>30</v>
      </c>
      <c r="S6" s="9">
        <f>R6*0.35</f>
        <v>10.5</v>
      </c>
      <c r="T6">
        <v>2000</v>
      </c>
      <c r="U6" s="8">
        <f t="shared" ref="U6:U7" si="2">T6*R6</f>
        <v>60000</v>
      </c>
      <c r="V6" s="8">
        <f t="shared" si="1"/>
        <v>21000</v>
      </c>
    </row>
    <row r="7" spans="1:29" x14ac:dyDescent="0.25">
      <c r="A7" t="s">
        <v>5</v>
      </c>
      <c r="B7" s="1">
        <v>7.0000000000000007E-2</v>
      </c>
      <c r="C7" s="2">
        <v>81000</v>
      </c>
      <c r="D7" s="3">
        <f t="shared" si="0"/>
        <v>3240</v>
      </c>
      <c r="F7" s="3">
        <f>B11/52</f>
        <v>4701.9230769230771</v>
      </c>
      <c r="G7" s="3"/>
      <c r="H7" s="3"/>
      <c r="I7" s="3"/>
      <c r="J7" s="3"/>
      <c r="K7" s="3"/>
      <c r="L7" s="3"/>
      <c r="M7" s="3"/>
      <c r="N7" s="3"/>
      <c r="O7" s="3"/>
      <c r="Q7" t="s">
        <v>35</v>
      </c>
      <c r="R7" s="9">
        <v>30</v>
      </c>
      <c r="S7" s="9">
        <f>R7*0.35</f>
        <v>10.5</v>
      </c>
      <c r="T7">
        <v>1500</v>
      </c>
      <c r="U7" s="8">
        <f t="shared" si="2"/>
        <v>45000</v>
      </c>
      <c r="V7" s="8">
        <f t="shared" si="1"/>
        <v>15750</v>
      </c>
    </row>
    <row r="8" spans="1:29" x14ac:dyDescent="0.25">
      <c r="A8" t="s">
        <v>6</v>
      </c>
      <c r="B8" s="1">
        <v>0.21</v>
      </c>
      <c r="C8" s="2">
        <v>231000</v>
      </c>
      <c r="D8" s="3">
        <f t="shared" si="0"/>
        <v>9240</v>
      </c>
      <c r="F8" s="3">
        <f>B15/12</f>
        <v>12530.416666666666</v>
      </c>
      <c r="G8" s="3"/>
      <c r="H8" s="3"/>
      <c r="I8" s="3"/>
      <c r="J8" s="3"/>
      <c r="K8" s="3"/>
      <c r="L8" s="3"/>
      <c r="M8" s="3"/>
      <c r="N8" s="3"/>
      <c r="O8" s="3"/>
      <c r="R8" s="9"/>
      <c r="S8" s="9"/>
      <c r="V8" s="8"/>
    </row>
    <row r="9" spans="1:29" x14ac:dyDescent="0.25">
      <c r="Q9" t="s">
        <v>37</v>
      </c>
      <c r="R9" s="9">
        <v>20</v>
      </c>
      <c r="S9" s="9">
        <v>12</v>
      </c>
      <c r="T9">
        <v>2000</v>
      </c>
      <c r="U9" s="8">
        <f>R9*T9</f>
        <v>40000</v>
      </c>
      <c r="V9" s="8">
        <f t="shared" si="1"/>
        <v>24000</v>
      </c>
    </row>
    <row r="10" spans="1:29" x14ac:dyDescent="0.25">
      <c r="A10" s="70"/>
      <c r="B10" s="71">
        <v>2012</v>
      </c>
      <c r="C10" s="72">
        <v>2013</v>
      </c>
      <c r="D10" s="71">
        <v>2014</v>
      </c>
      <c r="E10" s="71">
        <v>2015</v>
      </c>
      <c r="F10" s="73">
        <v>2016</v>
      </c>
      <c r="G10" s="73">
        <v>2017</v>
      </c>
      <c r="H10" s="73">
        <v>2018</v>
      </c>
      <c r="I10" s="73">
        <v>2019</v>
      </c>
      <c r="J10" s="73">
        <v>2020</v>
      </c>
      <c r="K10" s="74">
        <v>2021</v>
      </c>
      <c r="Q10" t="s">
        <v>38</v>
      </c>
      <c r="R10" s="9">
        <v>30</v>
      </c>
      <c r="S10" s="9">
        <v>15</v>
      </c>
      <c r="T10">
        <v>1250</v>
      </c>
      <c r="U10" s="8">
        <f>R10*T10</f>
        <v>37500</v>
      </c>
      <c r="V10" s="8">
        <f t="shared" si="1"/>
        <v>18750</v>
      </c>
    </row>
    <row r="11" spans="1:29" x14ac:dyDescent="0.25">
      <c r="A11" s="37" t="s">
        <v>2</v>
      </c>
      <c r="B11" s="38">
        <f>U11</f>
        <v>244500</v>
      </c>
      <c r="C11" s="39">
        <f>U22</f>
        <v>271287.5</v>
      </c>
      <c r="D11" s="39">
        <f>U33</f>
        <v>288605.625</v>
      </c>
      <c r="E11" s="39">
        <f>U44</f>
        <v>314102.25</v>
      </c>
      <c r="F11" s="25">
        <f>E11*1.05</f>
        <v>329807.36249999999</v>
      </c>
      <c r="G11" s="25">
        <f>F11*1.04</f>
        <v>342999.65700000001</v>
      </c>
      <c r="H11" s="25">
        <f>G11*1.03</f>
        <v>353289.64671</v>
      </c>
      <c r="I11" s="25">
        <f>H11*1.02</f>
        <v>360355.43964420003</v>
      </c>
      <c r="J11" s="25">
        <f>I11*1.01</f>
        <v>363958.99404064205</v>
      </c>
      <c r="K11" s="26">
        <f>J11*1.01</f>
        <v>367598.58398104849</v>
      </c>
      <c r="S11" s="9"/>
      <c r="U11" s="8">
        <f>SUM(U3:U10)</f>
        <v>244500</v>
      </c>
      <c r="V11" s="8">
        <f>SUM(V3:V10)</f>
        <v>105125</v>
      </c>
    </row>
    <row r="12" spans="1:29" x14ac:dyDescent="0.25">
      <c r="A12" s="16" t="s">
        <v>7</v>
      </c>
      <c r="B12" s="5"/>
      <c r="C12" s="12"/>
      <c r="D12" s="12"/>
      <c r="E12" s="12"/>
      <c r="F12" s="12"/>
      <c r="G12" s="12"/>
      <c r="H12" s="12"/>
      <c r="I12" s="12"/>
      <c r="J12" s="12"/>
      <c r="K12" s="17"/>
      <c r="R12" s="11">
        <v>2013</v>
      </c>
      <c r="S12" s="9"/>
    </row>
    <row r="13" spans="1:29" x14ac:dyDescent="0.25">
      <c r="A13" s="16" t="s">
        <v>8</v>
      </c>
      <c r="B13" s="31">
        <f>V11</f>
        <v>105125</v>
      </c>
      <c r="C13" s="31">
        <f>V22</f>
        <v>117425</v>
      </c>
      <c r="D13" s="31">
        <f>V33</f>
        <v>126111.5625</v>
      </c>
      <c r="E13" s="31">
        <f>V44</f>
        <v>137343.9375</v>
      </c>
      <c r="F13" s="22">
        <f>F11*0.43</f>
        <v>141817.16587500001</v>
      </c>
      <c r="G13" s="22">
        <f t="shared" ref="G13:K13" si="3">G11*0.43</f>
        <v>147489.85251</v>
      </c>
      <c r="H13" s="22">
        <f t="shared" si="3"/>
        <v>151914.54808529999</v>
      </c>
      <c r="I13" s="22">
        <f t="shared" si="3"/>
        <v>154952.83904700601</v>
      </c>
      <c r="J13" s="22">
        <f t="shared" si="3"/>
        <v>156502.36743747609</v>
      </c>
      <c r="K13" s="23">
        <f t="shared" si="3"/>
        <v>158067.39111185085</v>
      </c>
      <c r="R13" t="s">
        <v>43</v>
      </c>
      <c r="S13" s="9" t="s">
        <v>44</v>
      </c>
      <c r="T13" t="s">
        <v>45</v>
      </c>
      <c r="U13" t="s">
        <v>46</v>
      </c>
      <c r="V13" t="s">
        <v>48</v>
      </c>
    </row>
    <row r="14" spans="1:29" x14ac:dyDescent="0.25">
      <c r="A14" s="16" t="s">
        <v>9</v>
      </c>
      <c r="B14" s="21">
        <f>AC2</f>
        <v>45240</v>
      </c>
      <c r="C14" s="22">
        <f>AC3</f>
        <v>56550</v>
      </c>
      <c r="D14" s="22">
        <f>AC4</f>
        <v>56550</v>
      </c>
      <c r="E14" s="22">
        <f>AC5</f>
        <v>62205</v>
      </c>
      <c r="F14" s="22">
        <f>E14</f>
        <v>62205</v>
      </c>
      <c r="G14" s="22">
        <f>F14+6000</f>
        <v>68205</v>
      </c>
      <c r="H14" s="22">
        <f>G14+6000</f>
        <v>74205</v>
      </c>
      <c r="I14" s="22">
        <f>H14+6000</f>
        <v>80205</v>
      </c>
      <c r="J14" s="22">
        <f>I14*1.01</f>
        <v>81007.05</v>
      </c>
      <c r="K14" s="23">
        <f>J14*1.01</f>
        <v>81817.120500000005</v>
      </c>
      <c r="Q14" t="s">
        <v>39</v>
      </c>
      <c r="R14" s="9">
        <v>39</v>
      </c>
      <c r="S14" s="9">
        <f>S3+0.1</f>
        <v>12.1</v>
      </c>
      <c r="T14">
        <f>T3*1.1</f>
        <v>1100</v>
      </c>
      <c r="U14" s="8">
        <f>T14*R14</f>
        <v>42900</v>
      </c>
      <c r="V14" s="8">
        <f>S14*T14</f>
        <v>13310</v>
      </c>
    </row>
    <row r="15" spans="1:29" x14ac:dyDescent="0.25">
      <c r="A15" s="30" t="s">
        <v>10</v>
      </c>
      <c r="B15" s="4">
        <f>SUM(B13:B14)</f>
        <v>150365</v>
      </c>
      <c r="C15" s="4">
        <f>SUM(C13:C14)</f>
        <v>173975</v>
      </c>
      <c r="D15" s="4">
        <f>SUM(D13:D14)</f>
        <v>182661.5625</v>
      </c>
      <c r="E15" s="4">
        <f>SUM(E13:E14)</f>
        <v>199548.9375</v>
      </c>
      <c r="F15" s="75">
        <f>F13+F14</f>
        <v>204022.16587500001</v>
      </c>
      <c r="G15" s="75">
        <f t="shared" ref="G15:K15" si="4">G13+G14</f>
        <v>215694.85251</v>
      </c>
      <c r="H15" s="75">
        <f t="shared" si="4"/>
        <v>226119.54808529999</v>
      </c>
      <c r="I15" s="75">
        <f t="shared" si="4"/>
        <v>235157.83904700601</v>
      </c>
      <c r="J15" s="75">
        <f t="shared" si="4"/>
        <v>237509.41743747611</v>
      </c>
      <c r="K15" s="76">
        <f t="shared" si="4"/>
        <v>239884.51161185087</v>
      </c>
      <c r="Q15" t="s">
        <v>42</v>
      </c>
      <c r="R15" s="9">
        <v>3.25</v>
      </c>
      <c r="S15" s="9">
        <f>S4+0.1</f>
        <v>1.85</v>
      </c>
      <c r="T15">
        <f>T4*1.1</f>
        <v>3850.0000000000005</v>
      </c>
      <c r="U15" s="8">
        <f>T15*R15</f>
        <v>12512.500000000002</v>
      </c>
      <c r="V15" s="8">
        <f t="shared" ref="V15:V21" si="5">S15*T15</f>
        <v>7122.5000000000009</v>
      </c>
    </row>
    <row r="16" spans="1:29" x14ac:dyDescent="0.25">
      <c r="A16" s="16" t="s">
        <v>11</v>
      </c>
      <c r="B16" s="5">
        <f>B11-B15</f>
        <v>94135</v>
      </c>
      <c r="C16" s="5">
        <f>C11-C15</f>
        <v>97312.5</v>
      </c>
      <c r="D16" s="5">
        <f>D11-D15</f>
        <v>105944.0625</v>
      </c>
      <c r="E16" s="5">
        <f>E11-E15</f>
        <v>114553.3125</v>
      </c>
      <c r="F16" s="68">
        <f>F11-F15</f>
        <v>125785.19662499998</v>
      </c>
      <c r="G16" s="68">
        <f t="shared" ref="G16:K16" si="6">G11-G15</f>
        <v>127304.80449000001</v>
      </c>
      <c r="H16" s="68">
        <f t="shared" si="6"/>
        <v>127170.09862470001</v>
      </c>
      <c r="I16" s="68">
        <f t="shared" si="6"/>
        <v>125197.60059719402</v>
      </c>
      <c r="J16" s="68">
        <f t="shared" si="6"/>
        <v>126449.57660316594</v>
      </c>
      <c r="K16" s="69">
        <f t="shared" si="6"/>
        <v>127714.07236919762</v>
      </c>
      <c r="L16" s="67"/>
      <c r="M16" s="67"/>
      <c r="N16" s="67"/>
      <c r="O16" s="67"/>
      <c r="Q16" t="s">
        <v>41</v>
      </c>
      <c r="R16" s="9">
        <v>2.75</v>
      </c>
      <c r="S16" s="9">
        <f>S5+0.1</f>
        <v>1.6</v>
      </c>
      <c r="T16">
        <f>T5*1.1</f>
        <v>5500</v>
      </c>
      <c r="U16" s="9">
        <f>R16*T16</f>
        <v>15125</v>
      </c>
      <c r="V16" s="8">
        <f t="shared" si="5"/>
        <v>8800</v>
      </c>
    </row>
    <row r="17" spans="1:22" x14ac:dyDescent="0.25">
      <c r="A17" s="16"/>
      <c r="B17" s="5"/>
      <c r="C17" s="12"/>
      <c r="D17" s="12"/>
      <c r="E17" s="12"/>
      <c r="F17" s="12"/>
      <c r="G17" s="12"/>
      <c r="H17" s="12"/>
      <c r="I17" s="12"/>
      <c r="J17" s="12"/>
      <c r="K17" s="17"/>
      <c r="Q17" t="s">
        <v>36</v>
      </c>
      <c r="R17" s="9">
        <v>30</v>
      </c>
      <c r="S17" s="9">
        <f>S6+0.1</f>
        <v>10.6</v>
      </c>
      <c r="T17">
        <f>T6*1.1</f>
        <v>2200</v>
      </c>
      <c r="U17" s="8">
        <f t="shared" ref="U17:U18" si="7">T17*R17</f>
        <v>66000</v>
      </c>
      <c r="V17" s="8">
        <f t="shared" si="5"/>
        <v>23320</v>
      </c>
    </row>
    <row r="18" spans="1:22" x14ac:dyDescent="0.25">
      <c r="A18" s="16" t="s">
        <v>12</v>
      </c>
      <c r="B18" s="5">
        <f>B11*0.07</f>
        <v>17115</v>
      </c>
      <c r="C18" s="5">
        <f>C11*0.07</f>
        <v>18990.125</v>
      </c>
      <c r="D18" s="5">
        <f>D11*0.07</f>
        <v>20202.393750000003</v>
      </c>
      <c r="E18" s="5">
        <f>E11*0.07</f>
        <v>21987.157500000001</v>
      </c>
      <c r="F18" s="5">
        <f t="shared" ref="F18:K18" si="8">F11*0.07</f>
        <v>23086.515375000003</v>
      </c>
      <c r="G18" s="5">
        <f t="shared" si="8"/>
        <v>24009.975990000003</v>
      </c>
      <c r="H18" s="5">
        <f t="shared" si="8"/>
        <v>24730.275269700003</v>
      </c>
      <c r="I18" s="5">
        <f t="shared" si="8"/>
        <v>25224.880775094003</v>
      </c>
      <c r="J18" s="5">
        <f t="shared" si="8"/>
        <v>25477.129582844947</v>
      </c>
      <c r="K18" s="32">
        <f t="shared" si="8"/>
        <v>25731.900878673398</v>
      </c>
      <c r="Q18" t="s">
        <v>35</v>
      </c>
      <c r="R18" s="9">
        <v>30</v>
      </c>
      <c r="S18" s="9">
        <f>S7+0.1</f>
        <v>10.6</v>
      </c>
      <c r="T18">
        <f>T7*1.1</f>
        <v>1650.0000000000002</v>
      </c>
      <c r="U18" s="8">
        <f t="shared" si="7"/>
        <v>49500.000000000007</v>
      </c>
      <c r="V18" s="8">
        <f t="shared" si="5"/>
        <v>17490.000000000004</v>
      </c>
    </row>
    <row r="19" spans="1:22" x14ac:dyDescent="0.25">
      <c r="A19" s="16" t="s">
        <v>13</v>
      </c>
      <c r="B19" s="5">
        <f>B11*0.05</f>
        <v>12225</v>
      </c>
      <c r="C19" s="5">
        <f>C11*0.05</f>
        <v>13564.375</v>
      </c>
      <c r="D19" s="5">
        <f>D11*0.05</f>
        <v>14430.28125</v>
      </c>
      <c r="E19" s="5">
        <f>E11*0.05</f>
        <v>15705.112500000001</v>
      </c>
      <c r="F19" s="5">
        <f t="shared" ref="F19:K19" si="9">F11*0.05</f>
        <v>16490.368125000001</v>
      </c>
      <c r="G19" s="5">
        <f t="shared" si="9"/>
        <v>17149.98285</v>
      </c>
      <c r="H19" s="5">
        <f t="shared" si="9"/>
        <v>17664.482335500001</v>
      </c>
      <c r="I19" s="5">
        <f t="shared" si="9"/>
        <v>18017.771982210001</v>
      </c>
      <c r="J19" s="5">
        <f t="shared" si="9"/>
        <v>18197.949702032103</v>
      </c>
      <c r="K19" s="32">
        <f t="shared" si="9"/>
        <v>18379.929199052425</v>
      </c>
      <c r="S19" s="9"/>
      <c r="V19" s="8"/>
    </row>
    <row r="20" spans="1:22" x14ac:dyDescent="0.25">
      <c r="A20" s="16" t="s">
        <v>15</v>
      </c>
      <c r="B20" s="5">
        <f>B37</f>
        <v>2800</v>
      </c>
      <c r="C20" s="5">
        <f>B20</f>
        <v>2800</v>
      </c>
      <c r="D20" s="5">
        <f>C20</f>
        <v>2800</v>
      </c>
      <c r="E20" s="5">
        <f>D20</f>
        <v>2800</v>
      </c>
      <c r="F20" s="5">
        <f t="shared" ref="F20:K20" si="10">E20</f>
        <v>2800</v>
      </c>
      <c r="G20" s="5">
        <f t="shared" si="10"/>
        <v>2800</v>
      </c>
      <c r="H20" s="5">
        <f t="shared" si="10"/>
        <v>2800</v>
      </c>
      <c r="I20" s="5">
        <f t="shared" si="10"/>
        <v>2800</v>
      </c>
      <c r="J20" s="5">
        <f t="shared" si="10"/>
        <v>2800</v>
      </c>
      <c r="K20" s="32">
        <f t="shared" si="10"/>
        <v>2800</v>
      </c>
      <c r="Q20" t="s">
        <v>37</v>
      </c>
      <c r="R20" s="9">
        <v>20</v>
      </c>
      <c r="S20" s="9">
        <f>S9+0.1</f>
        <v>12.1</v>
      </c>
      <c r="T20">
        <f>T9*1.1</f>
        <v>2200</v>
      </c>
      <c r="U20" s="8">
        <f>R20*T20</f>
        <v>44000</v>
      </c>
      <c r="V20" s="8">
        <f t="shared" si="5"/>
        <v>26620</v>
      </c>
    </row>
    <row r="21" spans="1:22" x14ac:dyDescent="0.25">
      <c r="A21" s="16" t="s">
        <v>16</v>
      </c>
      <c r="B21" s="21">
        <f>-T53</f>
        <v>2500</v>
      </c>
      <c r="C21" s="22">
        <f>-T54</f>
        <v>2330.5874338172189</v>
      </c>
      <c r="D21" s="22">
        <f>-T55</f>
        <v>2144.2336110161591</v>
      </c>
      <c r="E21" s="22">
        <f>-T56</f>
        <v>1939.2444059349939</v>
      </c>
      <c r="F21" s="21">
        <f>-T57</f>
        <v>1713.7562803457117</v>
      </c>
      <c r="G21" s="22">
        <f>-T58</f>
        <v>1465.7193421975016</v>
      </c>
      <c r="H21" s="22">
        <f>-T59</f>
        <v>1192.8787102344706</v>
      </c>
      <c r="I21" s="22">
        <f>-T60</f>
        <v>892.75401507513607</v>
      </c>
      <c r="J21" s="21">
        <f>-T61</f>
        <v>562.61685039986844</v>
      </c>
      <c r="K21" s="23">
        <f>-T62</f>
        <v>199.46596925707397</v>
      </c>
      <c r="Q21" t="s">
        <v>38</v>
      </c>
      <c r="R21" s="9">
        <v>30</v>
      </c>
      <c r="S21" s="9">
        <f>S10+0.1</f>
        <v>15.1</v>
      </c>
      <c r="T21">
        <f>T10*1.1</f>
        <v>1375</v>
      </c>
      <c r="U21" s="8">
        <f>R21*T21</f>
        <v>41250</v>
      </c>
      <c r="V21" s="8">
        <f t="shared" si="5"/>
        <v>20762.5</v>
      </c>
    </row>
    <row r="22" spans="1:22" x14ac:dyDescent="0.25">
      <c r="A22" s="16" t="s">
        <v>29</v>
      </c>
      <c r="B22" s="6">
        <v>1200</v>
      </c>
      <c r="C22" s="6">
        <v>1200</v>
      </c>
      <c r="D22" s="6">
        <v>1201</v>
      </c>
      <c r="E22" s="6">
        <v>1202</v>
      </c>
      <c r="F22" s="6">
        <v>1202</v>
      </c>
      <c r="G22" s="6">
        <v>1202</v>
      </c>
      <c r="H22" s="6">
        <v>1202</v>
      </c>
      <c r="I22" s="6">
        <v>1202</v>
      </c>
      <c r="J22" s="6">
        <v>1202</v>
      </c>
      <c r="K22" s="33">
        <v>1202</v>
      </c>
      <c r="U22" s="8">
        <f>SUM(U14:U21)</f>
        <v>271287.5</v>
      </c>
      <c r="V22" s="8">
        <f>SUM(V14:V21)</f>
        <v>117425</v>
      </c>
    </row>
    <row r="23" spans="1:22" x14ac:dyDescent="0.25">
      <c r="A23" s="16" t="s">
        <v>14</v>
      </c>
      <c r="B23" s="7">
        <f>SUM(B18:B22)</f>
        <v>35840</v>
      </c>
      <c r="C23" s="7">
        <f>SUM(C18:C22)</f>
        <v>38885.087433817222</v>
      </c>
      <c r="D23" s="7">
        <f>SUM(D18:D22)</f>
        <v>40777.908611016159</v>
      </c>
      <c r="E23" s="7">
        <f>SUM(E18:E22)</f>
        <v>43633.514405934999</v>
      </c>
      <c r="F23" s="7">
        <f t="shared" ref="F23:K23" si="11">SUM(F18:F22)</f>
        <v>45292.639780345715</v>
      </c>
      <c r="G23" s="7">
        <f t="shared" si="11"/>
        <v>46627.678182197509</v>
      </c>
      <c r="H23" s="7">
        <f t="shared" si="11"/>
        <v>47589.63631543448</v>
      </c>
      <c r="I23" s="7">
        <f t="shared" si="11"/>
        <v>48137.406772379145</v>
      </c>
      <c r="J23" s="7">
        <f t="shared" si="11"/>
        <v>48239.696135276921</v>
      </c>
      <c r="K23" s="34">
        <f t="shared" si="11"/>
        <v>48313.296046982898</v>
      </c>
      <c r="R23" s="10">
        <v>2014</v>
      </c>
    </row>
    <row r="24" spans="1:22" x14ac:dyDescent="0.25">
      <c r="A24" s="16" t="s">
        <v>17</v>
      </c>
      <c r="B24" s="5">
        <f>B16-B23</f>
        <v>58295</v>
      </c>
      <c r="C24" s="5">
        <f>C16-C23</f>
        <v>58427.412566182778</v>
      </c>
      <c r="D24" s="5">
        <f>D16-D23</f>
        <v>65166.153888983841</v>
      </c>
      <c r="E24" s="5">
        <f>E16-E23</f>
        <v>70919.798094065001</v>
      </c>
      <c r="F24" s="5">
        <f t="shared" ref="F24:K24" si="12">F16-F23</f>
        <v>80492.55684465426</v>
      </c>
      <c r="G24" s="5">
        <f t="shared" si="12"/>
        <v>80677.126307802508</v>
      </c>
      <c r="H24" s="5">
        <f t="shared" si="12"/>
        <v>79580.462309265538</v>
      </c>
      <c r="I24" s="5">
        <f t="shared" si="12"/>
        <v>77060.193824814865</v>
      </c>
      <c r="J24" s="5">
        <f t="shared" si="12"/>
        <v>78209.880467889016</v>
      </c>
      <c r="K24" s="32">
        <f t="shared" si="12"/>
        <v>79400.776322214719</v>
      </c>
      <c r="R24" t="s">
        <v>43</v>
      </c>
      <c r="S24" s="9" t="s">
        <v>44</v>
      </c>
      <c r="T24" t="s">
        <v>45</v>
      </c>
      <c r="U24" t="s">
        <v>46</v>
      </c>
      <c r="V24" t="s">
        <v>48</v>
      </c>
    </row>
    <row r="25" spans="1:22" x14ac:dyDescent="0.25">
      <c r="A25" s="18" t="s">
        <v>18</v>
      </c>
      <c r="B25" s="6">
        <f>B24*$B$56</f>
        <v>8744.25</v>
      </c>
      <c r="C25" s="6">
        <f>C24*$B$56</f>
        <v>8764.1118849274171</v>
      </c>
      <c r="D25" s="6">
        <f>D24*$B$56</f>
        <v>9774.9230833475758</v>
      </c>
      <c r="E25" s="6">
        <f>E24*$B$56</f>
        <v>10637.969714109749</v>
      </c>
      <c r="F25" s="6">
        <f t="shared" ref="F25:K25" si="13">F24*$B$56</f>
        <v>12073.883526698139</v>
      </c>
      <c r="G25" s="6">
        <f t="shared" si="13"/>
        <v>12101.568946170375</v>
      </c>
      <c r="H25" s="6">
        <f t="shared" si="13"/>
        <v>11937.06934638983</v>
      </c>
      <c r="I25" s="6">
        <f t="shared" si="13"/>
        <v>11559.029073722229</v>
      </c>
      <c r="J25" s="6">
        <f t="shared" si="13"/>
        <v>11731.482070183352</v>
      </c>
      <c r="K25" s="33">
        <f t="shared" si="13"/>
        <v>11910.116448332208</v>
      </c>
      <c r="Q25" t="s">
        <v>39</v>
      </c>
      <c r="R25" s="9">
        <f>R14</f>
        <v>39</v>
      </c>
      <c r="S25" s="9">
        <f>S14+0.15</f>
        <v>12.25</v>
      </c>
      <c r="T25">
        <f>T14*1.05</f>
        <v>1155</v>
      </c>
      <c r="U25" s="8">
        <f>T25*R25</f>
        <v>45045</v>
      </c>
      <c r="V25" s="8">
        <f>S25*T25</f>
        <v>14148.75</v>
      </c>
    </row>
    <row r="26" spans="1:22" x14ac:dyDescent="0.25">
      <c r="A26" s="30" t="s">
        <v>40</v>
      </c>
      <c r="B26" s="35">
        <f>B24-B25</f>
        <v>49550.75</v>
      </c>
      <c r="C26" s="35">
        <f>C24-C25</f>
        <v>49663.300681255365</v>
      </c>
      <c r="D26" s="35">
        <f>D24-D25</f>
        <v>55391.230805636267</v>
      </c>
      <c r="E26" s="35">
        <f>E24-E25</f>
        <v>60281.828379955252</v>
      </c>
      <c r="F26" s="35">
        <f t="shared" ref="F26:K26" si="14">F24-F25</f>
        <v>68418.673317956127</v>
      </c>
      <c r="G26" s="35">
        <f t="shared" si="14"/>
        <v>68575.557361632134</v>
      </c>
      <c r="H26" s="35">
        <f t="shared" si="14"/>
        <v>67643.392962875703</v>
      </c>
      <c r="I26" s="35">
        <f t="shared" si="14"/>
        <v>65501.164751092634</v>
      </c>
      <c r="J26" s="35">
        <f t="shared" si="14"/>
        <v>66478.398397705663</v>
      </c>
      <c r="K26" s="36">
        <f t="shared" si="14"/>
        <v>67490.659873882512</v>
      </c>
      <c r="Q26" t="s">
        <v>42</v>
      </c>
      <c r="R26" s="9">
        <f t="shared" ref="R26:R29" si="15">R15</f>
        <v>3.25</v>
      </c>
      <c r="S26" s="9">
        <f t="shared" ref="S26:S32" si="16">S15+0.15</f>
        <v>2</v>
      </c>
      <c r="T26">
        <f t="shared" ref="T26:T32" si="17">T15*1.05</f>
        <v>4042.5000000000005</v>
      </c>
      <c r="U26" s="8">
        <f>T26*R26</f>
        <v>13138.125000000002</v>
      </c>
      <c r="V26" s="8">
        <f t="shared" ref="V26:V32" si="18">S26*T26</f>
        <v>8085.0000000000009</v>
      </c>
    </row>
    <row r="27" spans="1:22" x14ac:dyDescent="0.25">
      <c r="A27" s="16"/>
      <c r="B27" s="12"/>
      <c r="C27" s="12"/>
      <c r="D27" s="12"/>
      <c r="E27" s="12"/>
      <c r="F27" s="12"/>
      <c r="G27" s="12"/>
      <c r="H27" s="12"/>
      <c r="I27" s="12"/>
      <c r="J27" s="12"/>
      <c r="K27" s="17"/>
      <c r="Q27" t="s">
        <v>41</v>
      </c>
      <c r="R27" s="9">
        <f t="shared" si="15"/>
        <v>2.75</v>
      </c>
      <c r="S27" s="9">
        <f t="shared" si="16"/>
        <v>1.75</v>
      </c>
      <c r="T27">
        <f t="shared" si="17"/>
        <v>5775</v>
      </c>
      <c r="U27" s="9">
        <f>R27*T27</f>
        <v>15881.25</v>
      </c>
      <c r="V27" s="8">
        <f t="shared" si="18"/>
        <v>10106.25</v>
      </c>
    </row>
    <row r="28" spans="1:22" x14ac:dyDescent="0.25">
      <c r="A28" s="18" t="s">
        <v>58</v>
      </c>
      <c r="B28" s="6">
        <v>50000</v>
      </c>
      <c r="C28" s="6">
        <v>50000</v>
      </c>
      <c r="D28" s="6">
        <v>55000</v>
      </c>
      <c r="E28" s="6">
        <v>60000</v>
      </c>
      <c r="F28" s="6">
        <v>65000</v>
      </c>
      <c r="G28" s="6">
        <v>65000</v>
      </c>
      <c r="H28" s="6">
        <v>65000</v>
      </c>
      <c r="I28" s="6">
        <v>65000</v>
      </c>
      <c r="J28" s="6">
        <v>65000</v>
      </c>
      <c r="K28" s="33">
        <v>65000</v>
      </c>
      <c r="Q28" t="s">
        <v>36</v>
      </c>
      <c r="R28" s="9">
        <f t="shared" si="15"/>
        <v>30</v>
      </c>
      <c r="S28" s="9">
        <f t="shared" si="16"/>
        <v>10.75</v>
      </c>
      <c r="T28">
        <f t="shared" si="17"/>
        <v>2310</v>
      </c>
      <c r="U28" s="8">
        <f t="shared" ref="U28:U29" si="19">T28*R28</f>
        <v>69300</v>
      </c>
      <c r="V28" s="8">
        <f t="shared" si="18"/>
        <v>24832.5</v>
      </c>
    </row>
    <row r="29" spans="1:22" x14ac:dyDescent="0.25">
      <c r="Q29" t="s">
        <v>35</v>
      </c>
      <c r="R29" s="9">
        <f t="shared" si="15"/>
        <v>30</v>
      </c>
      <c r="S29" s="9">
        <f t="shared" si="16"/>
        <v>10.75</v>
      </c>
      <c r="T29">
        <f t="shared" si="17"/>
        <v>1732.5000000000002</v>
      </c>
      <c r="U29" s="8">
        <f t="shared" si="19"/>
        <v>51975.000000000007</v>
      </c>
      <c r="V29" s="8">
        <f t="shared" si="18"/>
        <v>18624.375000000004</v>
      </c>
    </row>
    <row r="30" spans="1:22" x14ac:dyDescent="0.25">
      <c r="A30" s="79" t="s">
        <v>19</v>
      </c>
      <c r="B30" s="80"/>
      <c r="C30" s="80"/>
      <c r="D30" s="80"/>
      <c r="E30" s="80"/>
      <c r="F30" s="80"/>
      <c r="G30" s="80"/>
      <c r="H30" s="80"/>
      <c r="I30" s="80"/>
      <c r="J30" s="80"/>
      <c r="K30" s="81"/>
      <c r="R30" s="9"/>
      <c r="S30" s="9"/>
      <c r="V30" s="8"/>
    </row>
    <row r="31" spans="1:22" x14ac:dyDescent="0.25">
      <c r="A31" s="16" t="s">
        <v>20</v>
      </c>
      <c r="B31" s="5">
        <v>8967.0833333333358</v>
      </c>
      <c r="C31" s="5">
        <v>12236.312012361253</v>
      </c>
      <c r="D31" s="5">
        <v>21113.014600958617</v>
      </c>
      <c r="E31" s="5">
        <v>28902.729219249057</v>
      </c>
      <c r="F31" s="5">
        <v>18276.009401289433</v>
      </c>
      <c r="G31" s="5">
        <v>22784.161758832139</v>
      </c>
      <c r="H31" s="5">
        <v>26243.908340370654</v>
      </c>
      <c r="I31" s="5">
        <v>27432.252519539124</v>
      </c>
      <c r="J31" s="5">
        <v>29805.756356187361</v>
      </c>
      <c r="K31" s="32">
        <v>33197.428495633103</v>
      </c>
      <c r="M31" s="13" t="s">
        <v>55</v>
      </c>
      <c r="N31" s="14">
        <v>30</v>
      </c>
      <c r="O31" s="15" t="s">
        <v>56</v>
      </c>
      <c r="Q31" t="s">
        <v>37</v>
      </c>
      <c r="R31" s="9">
        <v>21</v>
      </c>
      <c r="S31" s="9">
        <f t="shared" si="16"/>
        <v>12.25</v>
      </c>
      <c r="T31">
        <f t="shared" si="17"/>
        <v>2310</v>
      </c>
      <c r="U31" s="8">
        <f>R31*T31</f>
        <v>48510</v>
      </c>
      <c r="V31" s="8">
        <f t="shared" si="18"/>
        <v>28297.5</v>
      </c>
    </row>
    <row r="32" spans="1:22" x14ac:dyDescent="0.25">
      <c r="A32" s="16" t="s">
        <v>21</v>
      </c>
      <c r="B32" s="5">
        <f>B11/$N$31</f>
        <v>8150</v>
      </c>
      <c r="C32" s="5">
        <f>C11/$N$31</f>
        <v>9042.9166666666661</v>
      </c>
      <c r="D32" s="5">
        <f>D11/$N$31</f>
        <v>9620.1875</v>
      </c>
      <c r="E32" s="5">
        <f>E11/$N$31</f>
        <v>10470.075000000001</v>
      </c>
      <c r="F32" s="5">
        <f t="shared" ref="F32:K32" si="20">F11/$N$31</f>
        <v>10993.578749999999</v>
      </c>
      <c r="G32" s="5">
        <f t="shared" si="20"/>
        <v>11433.321900000001</v>
      </c>
      <c r="H32" s="5">
        <f t="shared" si="20"/>
        <v>11776.321556999999</v>
      </c>
      <c r="I32" s="5">
        <f t="shared" si="20"/>
        <v>12011.847988140002</v>
      </c>
      <c r="J32" s="5">
        <f t="shared" si="20"/>
        <v>12131.966468021401</v>
      </c>
      <c r="K32" s="32">
        <f t="shared" si="20"/>
        <v>12253.286132701616</v>
      </c>
      <c r="M32" s="16" t="s">
        <v>54</v>
      </c>
      <c r="N32" s="12">
        <v>24</v>
      </c>
      <c r="O32" s="17"/>
      <c r="Q32" t="s">
        <v>38</v>
      </c>
      <c r="R32" s="9">
        <v>31</v>
      </c>
      <c r="S32" s="9">
        <f t="shared" si="16"/>
        <v>15.25</v>
      </c>
      <c r="T32">
        <f t="shared" si="17"/>
        <v>1443.75</v>
      </c>
      <c r="U32" s="8">
        <f>R32*T32</f>
        <v>44756.25</v>
      </c>
      <c r="V32" s="8">
        <f t="shared" si="18"/>
        <v>22017.1875</v>
      </c>
    </row>
    <row r="33" spans="1:22" x14ac:dyDescent="0.25">
      <c r="A33" s="16" t="s">
        <v>22</v>
      </c>
      <c r="B33" s="5">
        <f>B13/(360/$N$32)</f>
        <v>7008.333333333333</v>
      </c>
      <c r="C33" s="5">
        <f>C13/(360/$N$32)</f>
        <v>7828.333333333333</v>
      </c>
      <c r="D33" s="5">
        <f>D13/(360/$N$32)</f>
        <v>8407.4375</v>
      </c>
      <c r="E33" s="5">
        <f>E13/(360/$N$32)</f>
        <v>9156.2625000000007</v>
      </c>
      <c r="F33" s="5">
        <f t="shared" ref="F33:K33" si="21">F13/(360/$N$32)</f>
        <v>9454.4777250000006</v>
      </c>
      <c r="G33" s="5">
        <f t="shared" si="21"/>
        <v>9832.6568339999994</v>
      </c>
      <c r="H33" s="5">
        <f t="shared" si="21"/>
        <v>10127.636539019999</v>
      </c>
      <c r="I33" s="5">
        <f t="shared" si="21"/>
        <v>10330.189269800401</v>
      </c>
      <c r="J33" s="5">
        <f t="shared" si="21"/>
        <v>10433.491162498405</v>
      </c>
      <c r="K33" s="32">
        <f t="shared" si="21"/>
        <v>10537.82607412339</v>
      </c>
      <c r="M33" s="18" t="s">
        <v>57</v>
      </c>
      <c r="N33" s="19">
        <v>30</v>
      </c>
      <c r="O33" s="20" t="s">
        <v>56</v>
      </c>
      <c r="U33" s="8">
        <f>SUM(U25:U32)</f>
        <v>288605.625</v>
      </c>
      <c r="V33" s="8">
        <f>SUM(V25:V32)</f>
        <v>126111.5625</v>
      </c>
    </row>
    <row r="34" spans="1:22" x14ac:dyDescent="0.25">
      <c r="A34" s="16" t="s">
        <v>23</v>
      </c>
      <c r="B34" s="5">
        <f>SUM(B31:B33)</f>
        <v>24125.416666666668</v>
      </c>
      <c r="C34" s="5">
        <f t="shared" ref="C34:K34" si="22">SUM(C31:C33)</f>
        <v>29107.56201236125</v>
      </c>
      <c r="D34" s="5">
        <f t="shared" si="22"/>
        <v>39140.639600958617</v>
      </c>
      <c r="E34" s="5">
        <f t="shared" si="22"/>
        <v>48529.066719249051</v>
      </c>
      <c r="F34" s="5">
        <f t="shared" si="22"/>
        <v>38724.065876289431</v>
      </c>
      <c r="G34" s="5">
        <f t="shared" si="22"/>
        <v>44050.140492832143</v>
      </c>
      <c r="H34" s="5">
        <f t="shared" si="22"/>
        <v>48147.86643639065</v>
      </c>
      <c r="I34" s="5">
        <f t="shared" si="22"/>
        <v>49774.289777479527</v>
      </c>
      <c r="J34" s="5">
        <f t="shared" si="22"/>
        <v>52371.213986707167</v>
      </c>
      <c r="K34" s="32">
        <f t="shared" si="22"/>
        <v>55988.540702458107</v>
      </c>
      <c r="R34" s="10">
        <v>2015</v>
      </c>
    </row>
    <row r="35" spans="1:22" x14ac:dyDescent="0.25">
      <c r="A35" s="16"/>
      <c r="B35" s="5"/>
      <c r="C35" s="12"/>
      <c r="D35" s="12"/>
      <c r="E35" s="12"/>
      <c r="F35" s="12"/>
      <c r="G35" s="12"/>
      <c r="H35" s="12"/>
      <c r="I35" s="12"/>
      <c r="J35" s="12"/>
      <c r="K35" s="17"/>
      <c r="R35" t="s">
        <v>43</v>
      </c>
      <c r="S35" s="9" t="s">
        <v>44</v>
      </c>
      <c r="T35" t="s">
        <v>45</v>
      </c>
      <c r="U35" t="s">
        <v>46</v>
      </c>
      <c r="V35" t="s">
        <v>48</v>
      </c>
    </row>
    <row r="36" spans="1:22" x14ac:dyDescent="0.25">
      <c r="A36" s="16" t="s">
        <v>47</v>
      </c>
      <c r="B36" s="5">
        <v>30000</v>
      </c>
      <c r="C36" s="5">
        <v>30000</v>
      </c>
      <c r="D36" s="5">
        <v>30000</v>
      </c>
      <c r="E36" s="5">
        <v>30000</v>
      </c>
      <c r="F36" s="5">
        <v>30000</v>
      </c>
      <c r="G36" s="5">
        <v>30000</v>
      </c>
      <c r="H36" s="5">
        <v>30000</v>
      </c>
      <c r="I36" s="5">
        <v>30000</v>
      </c>
      <c r="J36" s="5">
        <v>30000</v>
      </c>
      <c r="K36" s="32">
        <v>30000</v>
      </c>
      <c r="Q36" t="s">
        <v>39</v>
      </c>
      <c r="R36" s="9">
        <v>40</v>
      </c>
      <c r="S36" s="9">
        <f>S25+0.25</f>
        <v>12.5</v>
      </c>
      <c r="T36">
        <f>T25*1.05</f>
        <v>1212.75</v>
      </c>
      <c r="U36" s="8">
        <f>T36*R36</f>
        <v>48510</v>
      </c>
      <c r="V36" s="8">
        <f>S36*T36</f>
        <v>15159.375</v>
      </c>
    </row>
    <row r="37" spans="1:22" x14ac:dyDescent="0.25">
      <c r="A37" s="16" t="s">
        <v>24</v>
      </c>
      <c r="B37" s="5">
        <v>2800</v>
      </c>
      <c r="C37" s="5">
        <f>B37+2800</f>
        <v>5600</v>
      </c>
      <c r="D37" s="5">
        <f t="shared" ref="D37:K37" si="23">C37+2800</f>
        <v>8400</v>
      </c>
      <c r="E37" s="5">
        <f t="shared" si="23"/>
        <v>11200</v>
      </c>
      <c r="F37" s="5">
        <f t="shared" si="23"/>
        <v>14000</v>
      </c>
      <c r="G37" s="5">
        <f t="shared" si="23"/>
        <v>16800</v>
      </c>
      <c r="H37" s="5">
        <f t="shared" si="23"/>
        <v>19600</v>
      </c>
      <c r="I37" s="5">
        <f t="shared" si="23"/>
        <v>22400</v>
      </c>
      <c r="J37" s="5">
        <f t="shared" si="23"/>
        <v>25200</v>
      </c>
      <c r="K37" s="32">
        <f t="shared" si="23"/>
        <v>28000</v>
      </c>
      <c r="Q37" t="s">
        <v>42</v>
      </c>
      <c r="R37" s="8">
        <v>3</v>
      </c>
      <c r="S37" s="9">
        <f t="shared" ref="S37:S43" si="24">S26+0.25</f>
        <v>2.25</v>
      </c>
      <c r="T37">
        <f t="shared" ref="T37:T43" si="25">T26*1.05</f>
        <v>4244.6250000000009</v>
      </c>
      <c r="U37" s="8">
        <f>T37*R37</f>
        <v>12733.875000000004</v>
      </c>
      <c r="V37" s="8">
        <f t="shared" ref="V37:V43" si="26">S37*T37</f>
        <v>9550.4062500000018</v>
      </c>
    </row>
    <row r="38" spans="1:22" x14ac:dyDescent="0.25">
      <c r="A38" s="16" t="s">
        <v>25</v>
      </c>
      <c r="B38" s="40">
        <f>B36-B37</f>
        <v>27200</v>
      </c>
      <c r="C38" s="40">
        <f t="shared" ref="C38:K38" si="27">C36-C37</f>
        <v>24400</v>
      </c>
      <c r="D38" s="40">
        <f t="shared" si="27"/>
        <v>21600</v>
      </c>
      <c r="E38" s="40">
        <f t="shared" si="27"/>
        <v>18800</v>
      </c>
      <c r="F38" s="40">
        <f t="shared" si="27"/>
        <v>16000</v>
      </c>
      <c r="G38" s="40">
        <f t="shared" si="27"/>
        <v>13200</v>
      </c>
      <c r="H38" s="40">
        <f t="shared" si="27"/>
        <v>10400</v>
      </c>
      <c r="I38" s="40">
        <f t="shared" si="27"/>
        <v>7600</v>
      </c>
      <c r="J38" s="40">
        <f t="shared" si="27"/>
        <v>4800</v>
      </c>
      <c r="K38" s="41">
        <f t="shared" si="27"/>
        <v>2000</v>
      </c>
      <c r="Q38" t="s">
        <v>41</v>
      </c>
      <c r="R38" s="9">
        <v>2.5</v>
      </c>
      <c r="S38" s="9">
        <f t="shared" si="24"/>
        <v>2</v>
      </c>
      <c r="T38">
        <f t="shared" si="25"/>
        <v>6063.75</v>
      </c>
      <c r="U38" s="9">
        <f>R38*T38</f>
        <v>15159.375</v>
      </c>
      <c r="V38" s="8">
        <f t="shared" si="26"/>
        <v>12127.5</v>
      </c>
    </row>
    <row r="39" spans="1:22" x14ac:dyDescent="0.25">
      <c r="A39" s="16"/>
      <c r="B39" s="12"/>
      <c r="C39" s="12"/>
      <c r="D39" s="12"/>
      <c r="E39" s="12"/>
      <c r="F39" s="12"/>
      <c r="G39" s="12"/>
      <c r="H39" s="12"/>
      <c r="I39" s="12"/>
      <c r="J39" s="12"/>
      <c r="K39" s="17"/>
      <c r="Q39" t="s">
        <v>36</v>
      </c>
      <c r="R39" s="9">
        <v>32</v>
      </c>
      <c r="S39" s="9">
        <f t="shared" si="24"/>
        <v>11</v>
      </c>
      <c r="T39">
        <f t="shared" si="25"/>
        <v>2425.5</v>
      </c>
      <c r="U39" s="8">
        <f t="shared" ref="U39:U40" si="28">T39*R39</f>
        <v>77616</v>
      </c>
      <c r="V39" s="8">
        <f t="shared" si="26"/>
        <v>26680.5</v>
      </c>
    </row>
    <row r="40" spans="1:22" x14ac:dyDescent="0.25">
      <c r="A40" s="16" t="s">
        <v>26</v>
      </c>
      <c r="B40" s="5">
        <f>B34+B38</f>
        <v>51325.416666666672</v>
      </c>
      <c r="C40" s="5">
        <f t="shared" ref="C40:K40" si="29">C34+C38</f>
        <v>53507.562012361246</v>
      </c>
      <c r="D40" s="5">
        <f t="shared" si="29"/>
        <v>60740.639600958617</v>
      </c>
      <c r="E40" s="5">
        <f t="shared" si="29"/>
        <v>67329.066719249051</v>
      </c>
      <c r="F40" s="5">
        <f t="shared" si="29"/>
        <v>54724.065876289431</v>
      </c>
      <c r="G40" s="5">
        <f t="shared" si="29"/>
        <v>57250.140492832143</v>
      </c>
      <c r="H40" s="5">
        <f t="shared" si="29"/>
        <v>58547.86643639065</v>
      </c>
      <c r="I40" s="5">
        <f t="shared" si="29"/>
        <v>57374.289777479527</v>
      </c>
      <c r="J40" s="5">
        <f t="shared" si="29"/>
        <v>57171.213986707167</v>
      </c>
      <c r="K40" s="32">
        <f t="shared" si="29"/>
        <v>57988.540702458107</v>
      </c>
      <c r="Q40" t="s">
        <v>35</v>
      </c>
      <c r="R40" s="9">
        <v>32</v>
      </c>
      <c r="S40" s="9">
        <f t="shared" si="24"/>
        <v>11</v>
      </c>
      <c r="T40">
        <f t="shared" si="25"/>
        <v>1819.1250000000002</v>
      </c>
      <c r="U40" s="8">
        <f t="shared" si="28"/>
        <v>58212.000000000007</v>
      </c>
      <c r="V40" s="8">
        <f t="shared" si="26"/>
        <v>20010.375000000004</v>
      </c>
    </row>
    <row r="41" spans="1:22" x14ac:dyDescent="0.25">
      <c r="A41" s="79" t="s">
        <v>66</v>
      </c>
      <c r="B41" s="80"/>
      <c r="C41" s="80"/>
      <c r="D41" s="80"/>
      <c r="E41" s="80"/>
      <c r="F41" s="80"/>
      <c r="G41" s="80"/>
      <c r="H41" s="80"/>
      <c r="I41" s="80"/>
      <c r="J41" s="80"/>
      <c r="K41" s="81"/>
      <c r="S41" s="9"/>
      <c r="V41" s="8"/>
    </row>
    <row r="42" spans="1:22" x14ac:dyDescent="0.25">
      <c r="A42" s="16" t="s">
        <v>27</v>
      </c>
      <c r="B42" s="5">
        <f>B15/(360/$N$33)</f>
        <v>12530.416666666666</v>
      </c>
      <c r="C42" s="5">
        <f>C15/(360/$N$33)</f>
        <v>14497.916666666666</v>
      </c>
      <c r="D42" s="5">
        <f>D15/(360/$N$33)</f>
        <v>15221.796875</v>
      </c>
      <c r="E42" s="5">
        <f>E15/(360/$N$33)</f>
        <v>16629.078125</v>
      </c>
      <c r="F42" s="5">
        <f t="shared" ref="F42:K42" si="30">F15/(360/$N$33)</f>
        <v>17001.847156250002</v>
      </c>
      <c r="G42" s="5">
        <f t="shared" si="30"/>
        <v>17974.5710425</v>
      </c>
      <c r="H42" s="5">
        <f t="shared" si="30"/>
        <v>18843.295673774999</v>
      </c>
      <c r="I42" s="5">
        <f t="shared" si="30"/>
        <v>19596.4865872505</v>
      </c>
      <c r="J42" s="5">
        <f t="shared" si="30"/>
        <v>19792.451453123009</v>
      </c>
      <c r="K42" s="32">
        <f t="shared" si="30"/>
        <v>19990.37596765424</v>
      </c>
      <c r="Q42" t="s">
        <v>37</v>
      </c>
      <c r="R42" s="9">
        <v>22</v>
      </c>
      <c r="S42" s="9">
        <f t="shared" si="24"/>
        <v>12.5</v>
      </c>
      <c r="T42">
        <f t="shared" si="25"/>
        <v>2425.5</v>
      </c>
      <c r="U42" s="8">
        <f>R42*T42</f>
        <v>53361</v>
      </c>
      <c r="V42" s="8">
        <f t="shared" si="26"/>
        <v>30318.75</v>
      </c>
    </row>
    <row r="43" spans="1:22" x14ac:dyDescent="0.25">
      <c r="A43" s="16" t="s">
        <v>28</v>
      </c>
      <c r="B43" s="5">
        <f>B25</f>
        <v>8744.25</v>
      </c>
      <c r="C43" s="5">
        <f>C25</f>
        <v>8764.1118849274171</v>
      </c>
      <c r="D43" s="5">
        <f>D25</f>
        <v>9774.9230833475758</v>
      </c>
      <c r="E43" s="5">
        <f>E25</f>
        <v>10637.969714109749</v>
      </c>
      <c r="F43" s="5">
        <f t="shared" ref="F43:K43" si="31">F25</f>
        <v>12073.883526698139</v>
      </c>
      <c r="G43" s="5">
        <f t="shared" si="31"/>
        <v>12101.568946170375</v>
      </c>
      <c r="H43" s="5">
        <f t="shared" si="31"/>
        <v>11937.06934638983</v>
      </c>
      <c r="I43" s="5">
        <f t="shared" si="31"/>
        <v>11559.029073722229</v>
      </c>
      <c r="J43" s="5">
        <f t="shared" si="31"/>
        <v>11731.482070183352</v>
      </c>
      <c r="K43" s="32">
        <f t="shared" si="31"/>
        <v>11910.116448332208</v>
      </c>
      <c r="L43" s="3"/>
      <c r="M43" s="3"/>
      <c r="N43" s="3"/>
      <c r="O43" s="3"/>
      <c r="Q43" t="s">
        <v>38</v>
      </c>
      <c r="R43" s="9">
        <v>32</v>
      </c>
      <c r="S43" s="9">
        <f t="shared" si="24"/>
        <v>15.5</v>
      </c>
      <c r="T43">
        <f t="shared" si="25"/>
        <v>1515.9375</v>
      </c>
      <c r="U43" s="8">
        <f>R43*T43</f>
        <v>48510</v>
      </c>
      <c r="V43" s="8">
        <f t="shared" si="26"/>
        <v>23497.03125</v>
      </c>
    </row>
    <row r="44" spans="1:22" x14ac:dyDescent="0.25">
      <c r="A44" s="16"/>
      <c r="B44" s="5"/>
      <c r="C44" s="5"/>
      <c r="D44" s="5"/>
      <c r="E44" s="5"/>
      <c r="F44" s="12"/>
      <c r="G44" s="12"/>
      <c r="H44" s="12"/>
      <c r="I44" s="12"/>
      <c r="J44" s="12"/>
      <c r="K44" s="17"/>
      <c r="U44" s="8">
        <f>SUM(U36:U43)</f>
        <v>314102.25</v>
      </c>
      <c r="V44" s="8">
        <f>SUM(V36:V43)</f>
        <v>137343.9375</v>
      </c>
    </row>
    <row r="45" spans="1:22" x14ac:dyDescent="0.25">
      <c r="A45" s="16" t="s">
        <v>30</v>
      </c>
      <c r="B45" s="5">
        <v>20000</v>
      </c>
      <c r="C45" s="21">
        <f>B45+U53</f>
        <v>18305.874338172187</v>
      </c>
      <c r="D45" s="21">
        <f>C45+U54</f>
        <v>16442.336110161592</v>
      </c>
      <c r="E45" s="21">
        <f>D45+U55</f>
        <v>14392.444059349937</v>
      </c>
      <c r="F45" s="21">
        <f>E45+U55</f>
        <v>12342.552008538281</v>
      </c>
      <c r="G45" s="21">
        <f>F45+U55</f>
        <v>10292.659957726626</v>
      </c>
      <c r="H45" s="21">
        <f>G45+U55</f>
        <v>8242.7679069149708</v>
      </c>
      <c r="I45" s="21">
        <f>H45+U55</f>
        <v>6192.8758561033155</v>
      </c>
      <c r="J45" s="21">
        <f>I45+U55</f>
        <v>4142.9838052916602</v>
      </c>
      <c r="K45" s="42">
        <f>J45+U55</f>
        <v>2093.0917544800054</v>
      </c>
    </row>
    <row r="46" spans="1:22" x14ac:dyDescent="0.25">
      <c r="A46" s="16"/>
      <c r="B46" s="5"/>
      <c r="C46" s="5"/>
      <c r="D46" s="5"/>
      <c r="E46" s="5"/>
      <c r="F46" s="12"/>
      <c r="G46" s="12"/>
      <c r="H46" s="12"/>
      <c r="I46" s="12"/>
      <c r="J46" s="12"/>
      <c r="K46" s="17"/>
    </row>
    <row r="47" spans="1:22" x14ac:dyDescent="0.25">
      <c r="A47" s="16" t="s">
        <v>31</v>
      </c>
      <c r="B47" s="5">
        <v>10000</v>
      </c>
      <c r="C47" s="5">
        <v>10000</v>
      </c>
      <c r="D47" s="5">
        <v>10000</v>
      </c>
      <c r="E47" s="5">
        <v>10000</v>
      </c>
      <c r="F47" s="5">
        <v>10000</v>
      </c>
      <c r="G47" s="5">
        <v>10000</v>
      </c>
      <c r="H47" s="5">
        <v>10000</v>
      </c>
      <c r="I47" s="5">
        <v>10000</v>
      </c>
      <c r="J47" s="5">
        <v>10000</v>
      </c>
      <c r="K47" s="32">
        <v>10000</v>
      </c>
      <c r="R47" t="s">
        <v>59</v>
      </c>
      <c r="S47" s="3">
        <v>25000</v>
      </c>
      <c r="T47">
        <f>(S47-S50)/10</f>
        <v>2300</v>
      </c>
      <c r="U47">
        <f>5000/10</f>
        <v>500</v>
      </c>
    </row>
    <row r="48" spans="1:22" x14ac:dyDescent="0.25">
      <c r="A48" s="16" t="s">
        <v>32</v>
      </c>
      <c r="B48" s="5">
        <f>B26-B28</f>
        <v>-449.25</v>
      </c>
      <c r="C48" s="5">
        <f>C26-C28+B48</f>
        <v>-785.94931874463509</v>
      </c>
      <c r="D48" s="5">
        <f t="shared" ref="D48:K48" si="32">D26-D28+C48</f>
        <v>-394.71851310836792</v>
      </c>
      <c r="E48" s="5">
        <f t="shared" si="32"/>
        <v>-112.89013315311604</v>
      </c>
      <c r="F48" s="5">
        <f t="shared" si="32"/>
        <v>3305.783184803011</v>
      </c>
      <c r="G48" s="5">
        <f t="shared" si="32"/>
        <v>6881.3405464351454</v>
      </c>
      <c r="H48" s="5">
        <f t="shared" si="32"/>
        <v>9524.7335093108486</v>
      </c>
      <c r="I48" s="5">
        <f t="shared" si="32"/>
        <v>10025.898260403483</v>
      </c>
      <c r="J48" s="5">
        <f t="shared" si="32"/>
        <v>11504.296658109146</v>
      </c>
      <c r="K48" s="32">
        <f t="shared" si="32"/>
        <v>13994.956531991658</v>
      </c>
      <c r="L48" s="3"/>
      <c r="M48" s="3"/>
      <c r="N48" s="3"/>
      <c r="O48" s="3"/>
      <c r="R48" t="s">
        <v>60</v>
      </c>
      <c r="S48" s="1">
        <v>0.1</v>
      </c>
    </row>
    <row r="49" spans="1:21" x14ac:dyDescent="0.25">
      <c r="A49" s="16" t="s">
        <v>33</v>
      </c>
      <c r="B49" s="5">
        <v>0</v>
      </c>
      <c r="C49" s="5">
        <v>0</v>
      </c>
      <c r="D49" s="5">
        <v>0</v>
      </c>
      <c r="E49" s="5">
        <v>0</v>
      </c>
      <c r="F49" s="12"/>
      <c r="G49" s="12"/>
      <c r="H49" s="12"/>
      <c r="I49" s="12"/>
      <c r="J49" s="12"/>
      <c r="K49" s="17"/>
      <c r="R49" t="s">
        <v>61</v>
      </c>
    </row>
    <row r="50" spans="1:21" x14ac:dyDescent="0.25">
      <c r="A50" s="16"/>
      <c r="B50" s="5"/>
      <c r="C50" s="5"/>
      <c r="D50" s="5"/>
      <c r="E50" s="5"/>
      <c r="F50" s="12"/>
      <c r="G50" s="12"/>
      <c r="H50" s="12"/>
      <c r="I50" s="12"/>
      <c r="J50" s="12"/>
      <c r="K50" s="17"/>
      <c r="R50" t="s">
        <v>62</v>
      </c>
      <c r="S50">
        <v>2000</v>
      </c>
    </row>
    <row r="51" spans="1:21" x14ac:dyDescent="0.25">
      <c r="A51" s="18" t="s">
        <v>34</v>
      </c>
      <c r="B51" s="6">
        <f>SUM(B42:B50)</f>
        <v>50825.416666666664</v>
      </c>
      <c r="C51" s="6">
        <f>SUM(C42:C50)</f>
        <v>50781.953571021637</v>
      </c>
      <c r="D51" s="6">
        <f>SUM(D42:D50)</f>
        <v>51044.337555400794</v>
      </c>
      <c r="E51" s="6">
        <f>SUM(E42:E50)</f>
        <v>51546.601765306572</v>
      </c>
      <c r="F51" s="6">
        <f t="shared" ref="F51:K51" si="33">SUM(F42:F50)</f>
        <v>54724.065876289431</v>
      </c>
      <c r="G51" s="6">
        <f t="shared" si="33"/>
        <v>57250.140492832143</v>
      </c>
      <c r="H51" s="6">
        <f t="shared" si="33"/>
        <v>58547.86643639065</v>
      </c>
      <c r="I51" s="6">
        <f t="shared" si="33"/>
        <v>57374.289777479527</v>
      </c>
      <c r="J51" s="6">
        <f t="shared" si="33"/>
        <v>57171.213986707167</v>
      </c>
      <c r="K51" s="33">
        <f t="shared" si="33"/>
        <v>57988.540702458107</v>
      </c>
    </row>
    <row r="52" spans="1: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R52" s="13"/>
      <c r="S52" s="14" t="s">
        <v>63</v>
      </c>
      <c r="T52" s="14" t="s">
        <v>64</v>
      </c>
      <c r="U52" s="15" t="s">
        <v>65</v>
      </c>
    </row>
    <row r="53" spans="1:21" x14ac:dyDescent="0.25">
      <c r="A53" s="13" t="s">
        <v>67</v>
      </c>
      <c r="B53" s="43">
        <v>1.64</v>
      </c>
      <c r="C53" s="14"/>
      <c r="D53" s="44" t="s">
        <v>74</v>
      </c>
      <c r="E53" s="45" t="s">
        <v>72</v>
      </c>
      <c r="F53" s="3"/>
      <c r="G53" s="3"/>
      <c r="H53" s="3"/>
      <c r="I53" s="3"/>
      <c r="J53" s="3"/>
      <c r="K53" s="3"/>
      <c r="R53" s="27">
        <v>1</v>
      </c>
      <c r="S53" s="24">
        <f>PMT($S$48,$R$62,$S$47,$S$50)</f>
        <v>-4194.1256618278139</v>
      </c>
      <c r="T53" s="25">
        <f>IPMT($S$48,R53,10,$S$47,$S$50)</f>
        <v>-2500</v>
      </c>
      <c r="U53" s="26">
        <f>PPMT($S$48,R53,10,$S$47,$S$50)</f>
        <v>-1694.1256618278139</v>
      </c>
    </row>
    <row r="54" spans="1:21" x14ac:dyDescent="0.25">
      <c r="A54" s="16" t="s">
        <v>68</v>
      </c>
      <c r="B54" s="22">
        <f>E45</f>
        <v>14392.444059349937</v>
      </c>
      <c r="C54" s="12"/>
      <c r="D54" s="46">
        <f>B54/(SUM(B54:B55))</f>
        <v>0.59278041528683001</v>
      </c>
      <c r="E54" s="47">
        <v>0.75</v>
      </c>
      <c r="R54" s="28">
        <v>2</v>
      </c>
      <c r="S54" s="24">
        <f t="shared" ref="S54:S62" si="34">PMT($S$48,$R$62,$S$47,$S$50)</f>
        <v>-4194.1256618278139</v>
      </c>
      <c r="T54" s="25">
        <f t="shared" ref="T54:T62" si="35">IPMT($S$48,R54,10,$S$47,$S$50)</f>
        <v>-2330.5874338172189</v>
      </c>
      <c r="U54" s="26">
        <f t="shared" ref="U54:U62" si="36">PPMT($S$48,R54,10,$S$47,$S$50)</f>
        <v>-1863.538228010595</v>
      </c>
    </row>
    <row r="55" spans="1:21" x14ac:dyDescent="0.25">
      <c r="A55" s="16" t="s">
        <v>69</v>
      </c>
      <c r="B55" s="40">
        <f>E47+E48</f>
        <v>9887.109866846884</v>
      </c>
      <c r="C55" s="12"/>
      <c r="D55" s="46">
        <f>B55/(SUM(B54:B55))</f>
        <v>0.40721958471316988</v>
      </c>
      <c r="E55" s="47">
        <v>0.25</v>
      </c>
      <c r="R55" s="28">
        <v>3</v>
      </c>
      <c r="S55" s="24">
        <f t="shared" si="34"/>
        <v>-4194.1256618278139</v>
      </c>
      <c r="T55" s="25">
        <f t="shared" si="35"/>
        <v>-2144.2336110161591</v>
      </c>
      <c r="U55" s="26">
        <f t="shared" si="36"/>
        <v>-2049.8920508116548</v>
      </c>
    </row>
    <row r="56" spans="1:21" x14ac:dyDescent="0.25">
      <c r="A56" s="16" t="s">
        <v>71</v>
      </c>
      <c r="B56" s="48">
        <v>0.15</v>
      </c>
      <c r="C56" s="12"/>
      <c r="D56" s="12"/>
      <c r="E56" s="17"/>
      <c r="R56" s="29">
        <v>4</v>
      </c>
      <c r="S56" s="24">
        <f t="shared" si="34"/>
        <v>-4194.1256618278139</v>
      </c>
      <c r="T56" s="25">
        <f t="shared" si="35"/>
        <v>-1939.2444059349939</v>
      </c>
      <c r="U56" s="26">
        <f t="shared" si="36"/>
        <v>-2254.8812558928198</v>
      </c>
    </row>
    <row r="57" spans="1:21" x14ac:dyDescent="0.25">
      <c r="A57" s="16" t="s">
        <v>70</v>
      </c>
      <c r="B57" s="49">
        <f>B53/(1+(1-B56)*(B54/B55))</f>
        <v>0.73301791888499934</v>
      </c>
      <c r="C57" s="12"/>
      <c r="D57" s="12"/>
      <c r="E57" s="17"/>
      <c r="R57" s="28">
        <v>5</v>
      </c>
      <c r="S57" s="24">
        <f t="shared" si="34"/>
        <v>-4194.1256618278139</v>
      </c>
      <c r="T57" s="25">
        <f t="shared" si="35"/>
        <v>-1713.7562803457117</v>
      </c>
      <c r="U57" s="26">
        <f t="shared" si="36"/>
        <v>-2480.3693814821017</v>
      </c>
    </row>
    <row r="58" spans="1:21" x14ac:dyDescent="0.25">
      <c r="A58" s="16" t="s">
        <v>73</v>
      </c>
      <c r="B58" s="49">
        <f>(1+(1-B56)*(E54/E55))*B57</f>
        <v>2.6022136120417474</v>
      </c>
      <c r="C58" s="12"/>
      <c r="D58" s="12"/>
      <c r="E58" s="17"/>
      <c r="R58" s="28">
        <v>6</v>
      </c>
      <c r="S58" s="24">
        <f t="shared" si="34"/>
        <v>-4194.1256618278139</v>
      </c>
      <c r="T58" s="25">
        <f t="shared" si="35"/>
        <v>-1465.7193421975016</v>
      </c>
      <c r="U58" s="26">
        <f t="shared" si="36"/>
        <v>-2728.4063196303123</v>
      </c>
    </row>
    <row r="59" spans="1:21" x14ac:dyDescent="0.25">
      <c r="A59" s="16"/>
      <c r="B59" s="12"/>
      <c r="C59" s="12"/>
      <c r="D59" s="12"/>
      <c r="E59" s="17"/>
      <c r="R59" s="29">
        <v>7</v>
      </c>
      <c r="S59" s="24">
        <f t="shared" si="34"/>
        <v>-4194.1256618278139</v>
      </c>
      <c r="T59" s="25">
        <f t="shared" si="35"/>
        <v>-1192.8787102344706</v>
      </c>
      <c r="U59" s="26">
        <f t="shared" si="36"/>
        <v>-3001.2469515933435</v>
      </c>
    </row>
    <row r="60" spans="1:21" x14ac:dyDescent="0.25">
      <c r="A60" s="16" t="s">
        <v>75</v>
      </c>
      <c r="B60" s="48">
        <v>0.1</v>
      </c>
      <c r="C60" s="12"/>
      <c r="D60" s="12"/>
      <c r="E60" s="17"/>
      <c r="R60" s="28">
        <v>8</v>
      </c>
      <c r="S60" s="24">
        <f t="shared" si="34"/>
        <v>-4194.1256618278139</v>
      </c>
      <c r="T60" s="25">
        <f t="shared" si="35"/>
        <v>-892.75401507513607</v>
      </c>
      <c r="U60" s="26">
        <f t="shared" si="36"/>
        <v>-3301.3716467526779</v>
      </c>
    </row>
    <row r="61" spans="1:21" x14ac:dyDescent="0.25">
      <c r="A61" s="16" t="s">
        <v>76</v>
      </c>
      <c r="B61" s="50">
        <v>1.8E-3</v>
      </c>
      <c r="C61" s="12"/>
      <c r="D61" s="12"/>
      <c r="E61" s="17"/>
      <c r="R61" s="28">
        <v>9</v>
      </c>
      <c r="S61" s="24">
        <f t="shared" si="34"/>
        <v>-4194.1256618278139</v>
      </c>
      <c r="T61" s="25">
        <f t="shared" si="35"/>
        <v>-562.61685039986844</v>
      </c>
      <c r="U61" s="26">
        <f t="shared" si="36"/>
        <v>-3631.5088114279456</v>
      </c>
    </row>
    <row r="62" spans="1:21" x14ac:dyDescent="0.25">
      <c r="A62" s="16" t="s">
        <v>77</v>
      </c>
      <c r="B62" s="51">
        <v>4.5999999999999999E-2</v>
      </c>
      <c r="C62" s="51">
        <f>B62-B61</f>
        <v>4.4199999999999996E-2</v>
      </c>
      <c r="D62" s="12"/>
      <c r="E62" s="17"/>
      <c r="R62" s="29">
        <v>10</v>
      </c>
      <c r="S62" s="24">
        <f t="shared" si="34"/>
        <v>-4194.1256618278139</v>
      </c>
      <c r="T62" s="25">
        <f t="shared" si="35"/>
        <v>-199.46596925707397</v>
      </c>
      <c r="U62" s="26">
        <f t="shared" si="36"/>
        <v>-3994.6596925707399</v>
      </c>
    </row>
    <row r="63" spans="1:21" x14ac:dyDescent="0.25">
      <c r="A63" s="16" t="s">
        <v>79</v>
      </c>
      <c r="B63" s="49">
        <f>B53</f>
        <v>1.64</v>
      </c>
      <c r="C63" s="12"/>
      <c r="D63" s="12"/>
      <c r="E63" s="17"/>
    </row>
    <row r="64" spans="1:21" x14ac:dyDescent="0.25">
      <c r="A64" s="16" t="s">
        <v>79</v>
      </c>
      <c r="B64" s="50">
        <f>(B61+B58)*(B62-B61)</f>
        <v>0.11509740165224522</v>
      </c>
      <c r="C64" s="12"/>
      <c r="D64" s="12"/>
      <c r="E64" s="17"/>
    </row>
    <row r="65" spans="1:15" x14ac:dyDescent="0.25">
      <c r="A65" s="16"/>
      <c r="B65" s="12"/>
      <c r="C65" s="12"/>
      <c r="D65" s="12"/>
      <c r="E65" s="17"/>
    </row>
    <row r="66" spans="1:15" x14ac:dyDescent="0.25">
      <c r="A66" s="30" t="s">
        <v>78</v>
      </c>
      <c r="B66" s="52">
        <f>(E54*B60*(1-B56))+(E55*B64)</f>
        <v>9.2524350413061313E-2</v>
      </c>
      <c r="C66" s="12"/>
      <c r="D66" s="12"/>
      <c r="E66" s="17"/>
    </row>
    <row r="67" spans="1:15" x14ac:dyDescent="0.25">
      <c r="A67" s="16"/>
      <c r="B67" s="12"/>
      <c r="C67" s="12"/>
      <c r="D67" s="12"/>
      <c r="E67" s="17"/>
    </row>
    <row r="68" spans="1:15" x14ac:dyDescent="0.25">
      <c r="A68" s="18"/>
      <c r="B68" s="19" t="s">
        <v>80</v>
      </c>
      <c r="C68" s="19"/>
      <c r="D68" s="19"/>
      <c r="E68" s="20"/>
    </row>
    <row r="70" spans="1:15" x14ac:dyDescent="0.25">
      <c r="A70" s="13" t="s">
        <v>91</v>
      </c>
      <c r="B70" s="63">
        <f>B34/(B42+B43)</f>
        <v>1.1339973990975183</v>
      </c>
      <c r="C70" s="56">
        <f t="shared" ref="C70:E70" si="37">C34/(C42+C43)</f>
        <v>1.2512907869493002</v>
      </c>
      <c r="D70" s="56">
        <f t="shared" si="37"/>
        <v>1.5658310236774775</v>
      </c>
      <c r="E70" s="57">
        <f t="shared" si="37"/>
        <v>1.7797697427897825</v>
      </c>
    </row>
    <row r="71" spans="1:15" x14ac:dyDescent="0.25">
      <c r="A71" s="16" t="s">
        <v>92</v>
      </c>
      <c r="B71" s="64">
        <f>(B31+B32)/(B42+B43)</f>
        <v>0.80457586487841581</v>
      </c>
      <c r="C71" s="46">
        <f t="shared" ref="C71:E71" si="38">(C31+C32)/(C42+C43)</f>
        <v>0.91476238333349091</v>
      </c>
      <c r="D71" s="46">
        <f t="shared" si="38"/>
        <v>1.2294893950954298</v>
      </c>
      <c r="E71" s="58">
        <f t="shared" si="38"/>
        <v>1.4439701889096972</v>
      </c>
    </row>
    <row r="72" spans="1:15" x14ac:dyDescent="0.25">
      <c r="A72" s="16" t="s">
        <v>93</v>
      </c>
      <c r="B72" s="64">
        <f>B45/(B47+B48)</f>
        <v>2.0940763814360128</v>
      </c>
      <c r="C72" s="46">
        <f t="shared" ref="C72:E72" si="39">C45/(C47+C48)</f>
        <v>1.9867347132583939</v>
      </c>
      <c r="D72" s="46">
        <f t="shared" si="39"/>
        <v>1.7118015888030473</v>
      </c>
      <c r="E72" s="58">
        <f t="shared" si="39"/>
        <v>1.4556775693987365</v>
      </c>
    </row>
    <row r="73" spans="1:15" x14ac:dyDescent="0.25">
      <c r="A73" s="16" t="s">
        <v>94</v>
      </c>
      <c r="B73" s="65">
        <f>B15/B33</f>
        <v>21.455172413793104</v>
      </c>
      <c r="C73" s="59">
        <f t="shared" ref="C73:E73" si="40">C15/C33</f>
        <v>22.223759846710667</v>
      </c>
      <c r="D73" s="59">
        <f t="shared" si="40"/>
        <v>21.726187378734604</v>
      </c>
      <c r="E73" s="60">
        <f t="shared" si="40"/>
        <v>21.793710861828174</v>
      </c>
    </row>
    <row r="74" spans="1:15" x14ac:dyDescent="0.25">
      <c r="A74" s="16" t="s">
        <v>95</v>
      </c>
      <c r="B74" s="64">
        <f>B26/B40</f>
        <v>0.96542323897354287</v>
      </c>
      <c r="C74" s="46">
        <f t="shared" ref="C74:E74" si="41">C26/C40</f>
        <v>0.92815480304974862</v>
      </c>
      <c r="D74" s="46">
        <f t="shared" si="41"/>
        <v>0.91193031830968863</v>
      </c>
      <c r="E74" s="58">
        <f t="shared" si="41"/>
        <v>0.89533141208269518</v>
      </c>
    </row>
    <row r="75" spans="1:15" x14ac:dyDescent="0.25">
      <c r="A75" s="16" t="s">
        <v>96</v>
      </c>
      <c r="B75" s="64">
        <f>B26/B11</f>
        <v>0.20266155419222903</v>
      </c>
      <c r="C75" s="46">
        <f t="shared" ref="C75:E75" si="42">C26/C11</f>
        <v>0.18306520087086711</v>
      </c>
      <c r="D75" s="46">
        <f t="shared" si="42"/>
        <v>0.19192706589012695</v>
      </c>
      <c r="E75" s="58">
        <f t="shared" si="42"/>
        <v>0.19191784961729899</v>
      </c>
    </row>
    <row r="76" spans="1:15" x14ac:dyDescent="0.25">
      <c r="A76" s="18" t="s">
        <v>97</v>
      </c>
      <c r="B76" s="66">
        <f>B26/(B47+B48)</f>
        <v>5.1881527628720256</v>
      </c>
      <c r="C76" s="61">
        <f>C26/(C47+C48)</f>
        <v>5.3899530618263327</v>
      </c>
      <c r="D76" s="61">
        <f t="shared" ref="D76:E76" si="43">D26/(D47+D48)</f>
        <v>5.7667472714078096</v>
      </c>
      <c r="E76" s="62">
        <f t="shared" si="43"/>
        <v>6.0970120886478867</v>
      </c>
    </row>
    <row r="78" spans="1:15" x14ac:dyDescent="0.25">
      <c r="A78" s="13"/>
      <c r="B78" s="14">
        <v>0</v>
      </c>
      <c r="C78" s="14"/>
      <c r="D78" s="14"/>
      <c r="E78" s="14"/>
      <c r="F78" s="14">
        <v>1</v>
      </c>
      <c r="G78" s="14">
        <v>2</v>
      </c>
      <c r="H78" s="14">
        <v>3</v>
      </c>
      <c r="I78" s="14">
        <v>4</v>
      </c>
      <c r="J78" s="77">
        <v>5</v>
      </c>
      <c r="K78" s="77">
        <v>6</v>
      </c>
      <c r="L78" s="77">
        <v>7</v>
      </c>
      <c r="M78" s="77">
        <v>8</v>
      </c>
      <c r="N78" s="77">
        <v>9</v>
      </c>
      <c r="O78" s="78">
        <v>10</v>
      </c>
    </row>
    <row r="79" spans="1:15" x14ac:dyDescent="0.25">
      <c r="A79" s="16" t="s">
        <v>81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7"/>
    </row>
    <row r="80" spans="1:15" x14ac:dyDescent="0.25">
      <c r="A80" s="53" t="s">
        <v>82</v>
      </c>
      <c r="B80" s="5">
        <v>-25000</v>
      </c>
      <c r="C80" s="5"/>
      <c r="D80" s="5"/>
      <c r="E80" s="5"/>
      <c r="F80" s="12"/>
      <c r="G80" s="12"/>
      <c r="H80" s="12"/>
      <c r="I80" s="5"/>
      <c r="J80" s="12"/>
      <c r="K80" s="12"/>
      <c r="L80" s="12"/>
      <c r="M80" s="12"/>
      <c r="N80" s="12"/>
      <c r="O80" s="32">
        <v>2000</v>
      </c>
    </row>
    <row r="81" spans="1:15" x14ac:dyDescent="0.25">
      <c r="A81" s="53" t="s">
        <v>83</v>
      </c>
      <c r="B81" s="5">
        <v>-5000</v>
      </c>
      <c r="C81" s="5"/>
      <c r="D81" s="5"/>
      <c r="E81" s="5"/>
      <c r="F81" s="12"/>
      <c r="G81" s="12"/>
      <c r="H81" s="12"/>
      <c r="I81" s="5"/>
      <c r="J81" s="12"/>
      <c r="K81" s="12"/>
      <c r="L81" s="12"/>
      <c r="M81" s="12"/>
      <c r="N81" s="12"/>
      <c r="O81" s="32">
        <v>0</v>
      </c>
    </row>
    <row r="82" spans="1:15" x14ac:dyDescent="0.25">
      <c r="A82" s="16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7"/>
    </row>
    <row r="83" spans="1:15" x14ac:dyDescent="0.25">
      <c r="A83" s="16" t="s">
        <v>84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7"/>
    </row>
    <row r="84" spans="1:15" x14ac:dyDescent="0.25">
      <c r="A84" s="53" t="str">
        <f>A32</f>
        <v>A / R</v>
      </c>
      <c r="B84" s="12"/>
      <c r="C84" s="12"/>
      <c r="D84" s="12"/>
      <c r="E84" s="12"/>
      <c r="F84" s="54">
        <f>-B32</f>
        <v>-8150</v>
      </c>
      <c r="G84" s="40">
        <f t="shared" ref="G84:I85" si="44">B32-C32</f>
        <v>-892.91666666666606</v>
      </c>
      <c r="H84" s="40">
        <f t="shared" si="44"/>
        <v>-577.27083333333394</v>
      </c>
      <c r="I84" s="40">
        <f t="shared" si="44"/>
        <v>-849.88750000000073</v>
      </c>
      <c r="J84" s="40">
        <f t="shared" ref="J84:O84" si="45">E32-F32</f>
        <v>-523.50374999999804</v>
      </c>
      <c r="K84" s="40">
        <f t="shared" si="45"/>
        <v>-439.74315000000206</v>
      </c>
      <c r="L84" s="40">
        <f t="shared" si="45"/>
        <v>-342.99965699999848</v>
      </c>
      <c r="M84" s="40">
        <f t="shared" si="45"/>
        <v>-235.52643114000239</v>
      </c>
      <c r="N84" s="40">
        <f t="shared" si="45"/>
        <v>-120.11847988139925</v>
      </c>
      <c r="O84" s="41">
        <f t="shared" si="45"/>
        <v>-121.31966468021528</v>
      </c>
    </row>
    <row r="85" spans="1:15" x14ac:dyDescent="0.25">
      <c r="A85" s="53" t="str">
        <f>A33</f>
        <v>Inventory</v>
      </c>
      <c r="B85" s="12"/>
      <c r="C85" s="12"/>
      <c r="D85" s="12"/>
      <c r="E85" s="12"/>
      <c r="F85" s="54">
        <f>-B33</f>
        <v>-7008.333333333333</v>
      </c>
      <c r="G85" s="40">
        <f t="shared" si="44"/>
        <v>-820</v>
      </c>
      <c r="H85" s="40">
        <f t="shared" si="44"/>
        <v>-579.10416666666697</v>
      </c>
      <c r="I85" s="40">
        <f t="shared" si="44"/>
        <v>-748.82500000000073</v>
      </c>
      <c r="J85" s="40">
        <f t="shared" ref="J85:O85" si="46">E33-F33</f>
        <v>-298.21522499999992</v>
      </c>
      <c r="K85" s="40">
        <f t="shared" si="46"/>
        <v>-378.17910899999879</v>
      </c>
      <c r="L85" s="40">
        <f t="shared" si="46"/>
        <v>-294.97970501999953</v>
      </c>
      <c r="M85" s="40">
        <f t="shared" si="46"/>
        <v>-202.55273078040227</v>
      </c>
      <c r="N85" s="40">
        <f t="shared" si="46"/>
        <v>-103.30189269800394</v>
      </c>
      <c r="O85" s="41">
        <f t="shared" si="46"/>
        <v>-104.33491162498467</v>
      </c>
    </row>
    <row r="86" spans="1:15" x14ac:dyDescent="0.25">
      <c r="A86" s="53" t="str">
        <f>A42</f>
        <v>Accounts Payable</v>
      </c>
      <c r="B86" s="12"/>
      <c r="C86" s="12"/>
      <c r="D86" s="12"/>
      <c r="E86" s="12"/>
      <c r="F86" s="54">
        <f>B42</f>
        <v>12530.416666666666</v>
      </c>
      <c r="G86" s="40">
        <f t="shared" ref="G86:I87" si="47">-(B42-C42)</f>
        <v>1967.5</v>
      </c>
      <c r="H86" s="40">
        <f t="shared" si="47"/>
        <v>723.88020833333394</v>
      </c>
      <c r="I86" s="40">
        <f t="shared" si="47"/>
        <v>1407.28125</v>
      </c>
      <c r="J86" s="40">
        <f t="shared" ref="J86:O86" si="48">-(E42-F42)</f>
        <v>372.76903125000172</v>
      </c>
      <c r="K86" s="40">
        <f t="shared" si="48"/>
        <v>972.72388624999803</v>
      </c>
      <c r="L86" s="40">
        <f t="shared" si="48"/>
        <v>868.72463127499941</v>
      </c>
      <c r="M86" s="40">
        <f t="shared" si="48"/>
        <v>753.19091347550057</v>
      </c>
      <c r="N86" s="40">
        <f t="shared" si="48"/>
        <v>195.96486587250911</v>
      </c>
      <c r="O86" s="41">
        <f t="shared" si="48"/>
        <v>197.92451453123067</v>
      </c>
    </row>
    <row r="87" spans="1:15" x14ac:dyDescent="0.25">
      <c r="A87" s="53" t="str">
        <f>A43</f>
        <v>Taxes Payable</v>
      </c>
      <c r="B87" s="12"/>
      <c r="C87" s="12"/>
      <c r="D87" s="12"/>
      <c r="E87" s="12"/>
      <c r="F87" s="54">
        <f>B43</f>
        <v>8744.25</v>
      </c>
      <c r="G87" s="40">
        <f t="shared" si="47"/>
        <v>19.861884927417123</v>
      </c>
      <c r="H87" s="40">
        <f t="shared" si="47"/>
        <v>1010.8111984201587</v>
      </c>
      <c r="I87" s="40">
        <f t="shared" si="47"/>
        <v>863.04663076217366</v>
      </c>
      <c r="J87" s="40">
        <f t="shared" ref="J87:O87" si="49">-(E43-F43)</f>
        <v>1435.9138125883892</v>
      </c>
      <c r="K87" s="40">
        <f t="shared" si="49"/>
        <v>27.68541947223639</v>
      </c>
      <c r="L87" s="40">
        <f t="shared" si="49"/>
        <v>-164.4995997805454</v>
      </c>
      <c r="M87" s="40">
        <f t="shared" si="49"/>
        <v>-378.04027266760022</v>
      </c>
      <c r="N87" s="40">
        <f t="shared" si="49"/>
        <v>172.45299646112289</v>
      </c>
      <c r="O87" s="41">
        <f t="shared" si="49"/>
        <v>178.63437814885583</v>
      </c>
    </row>
    <row r="88" spans="1:15" x14ac:dyDescent="0.25">
      <c r="A88" s="16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7"/>
    </row>
    <row r="89" spans="1:15" x14ac:dyDescent="0.25">
      <c r="A89" s="16" t="s">
        <v>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7"/>
    </row>
    <row r="90" spans="1:15" x14ac:dyDescent="0.25">
      <c r="A90" s="53" t="s">
        <v>21</v>
      </c>
      <c r="B90" s="12"/>
      <c r="C90" s="12"/>
      <c r="D90" s="12"/>
      <c r="E90" s="12"/>
      <c r="F90" s="12"/>
      <c r="G90" s="12"/>
      <c r="H90" s="12"/>
      <c r="I90" s="40"/>
      <c r="J90" s="12"/>
      <c r="K90" s="12"/>
      <c r="L90" s="12"/>
      <c r="M90" s="12"/>
      <c r="N90" s="12"/>
      <c r="O90" s="41">
        <f>K32</f>
        <v>12253.286132701616</v>
      </c>
    </row>
    <row r="91" spans="1:15" x14ac:dyDescent="0.25">
      <c r="A91" s="53" t="s">
        <v>22</v>
      </c>
      <c r="B91" s="12"/>
      <c r="C91" s="12"/>
      <c r="D91" s="12"/>
      <c r="E91" s="12"/>
      <c r="F91" s="12"/>
      <c r="G91" s="12"/>
      <c r="H91" s="12"/>
      <c r="I91" s="40"/>
      <c r="J91" s="12"/>
      <c r="K91" s="12"/>
      <c r="L91" s="12"/>
      <c r="M91" s="12"/>
      <c r="N91" s="12"/>
      <c r="O91" s="41">
        <f>K33</f>
        <v>10537.82607412339</v>
      </c>
    </row>
    <row r="92" spans="1:15" x14ac:dyDescent="0.25">
      <c r="A92" s="53" t="s">
        <v>27</v>
      </c>
      <c r="B92" s="12"/>
      <c r="C92" s="12"/>
      <c r="D92" s="12"/>
      <c r="E92" s="12"/>
      <c r="F92" s="12"/>
      <c r="G92" s="12"/>
      <c r="H92" s="12"/>
      <c r="I92" s="40"/>
      <c r="J92" s="12"/>
      <c r="K92" s="12"/>
      <c r="L92" s="12"/>
      <c r="M92" s="12"/>
      <c r="N92" s="12"/>
      <c r="O92" s="41">
        <f>-K42</f>
        <v>-19990.37596765424</v>
      </c>
    </row>
    <row r="93" spans="1:15" x14ac:dyDescent="0.25">
      <c r="A93" s="53" t="s">
        <v>28</v>
      </c>
      <c r="B93" s="12"/>
      <c r="C93" s="12"/>
      <c r="D93" s="12"/>
      <c r="E93" s="12"/>
      <c r="F93" s="12"/>
      <c r="G93" s="12"/>
      <c r="H93" s="12"/>
      <c r="I93" s="40"/>
      <c r="J93" s="12"/>
      <c r="K93" s="12"/>
      <c r="L93" s="12"/>
      <c r="M93" s="12"/>
      <c r="N93" s="12"/>
      <c r="O93" s="41">
        <f>-K43</f>
        <v>-11910.116448332208</v>
      </c>
    </row>
    <row r="94" spans="1:15" x14ac:dyDescent="0.25">
      <c r="A94" s="1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7"/>
    </row>
    <row r="95" spans="1:15" x14ac:dyDescent="0.25">
      <c r="A95" s="16" t="s">
        <v>86</v>
      </c>
      <c r="B95" s="12"/>
      <c r="C95" s="12"/>
      <c r="D95" s="12"/>
      <c r="E95" s="12"/>
      <c r="F95" s="40">
        <f>B26+B20-B28</f>
        <v>2350.75</v>
      </c>
      <c r="G95" s="40">
        <f>C26+C20-C28</f>
        <v>2463.3006812553649</v>
      </c>
      <c r="H95" s="40">
        <f>D26+D20-D28</f>
        <v>3191.2308056362672</v>
      </c>
      <c r="I95" s="40">
        <f>E26+E20-E28</f>
        <v>3081.8283799552519</v>
      </c>
      <c r="J95" s="40">
        <f t="shared" ref="J95:O95" si="50">F26+F20-F28</f>
        <v>6218.673317956127</v>
      </c>
      <c r="K95" s="40">
        <f t="shared" si="50"/>
        <v>6375.5573616321344</v>
      </c>
      <c r="L95" s="40">
        <f t="shared" si="50"/>
        <v>5443.3929628757032</v>
      </c>
      <c r="M95" s="40">
        <f t="shared" si="50"/>
        <v>3301.1647510926414</v>
      </c>
      <c r="N95" s="40">
        <f t="shared" si="50"/>
        <v>4278.3983977056632</v>
      </c>
      <c r="O95" s="41">
        <f t="shared" si="50"/>
        <v>5290.6598738825123</v>
      </c>
    </row>
    <row r="96" spans="1:15" x14ac:dyDescent="0.25">
      <c r="A96" s="16"/>
      <c r="B96" s="22"/>
      <c r="C96" s="22"/>
      <c r="D96" s="22"/>
      <c r="E96" s="22"/>
      <c r="F96" s="12"/>
      <c r="G96" s="12"/>
      <c r="H96" s="12"/>
      <c r="I96" s="12"/>
      <c r="J96" s="12"/>
      <c r="K96" s="12"/>
      <c r="L96" s="12"/>
      <c r="M96" s="12"/>
      <c r="N96" s="12"/>
      <c r="O96" s="17"/>
    </row>
    <row r="97" spans="1:15" x14ac:dyDescent="0.25">
      <c r="A97" s="16" t="s">
        <v>85</v>
      </c>
      <c r="B97" s="40">
        <f>SUM(B80:B96)</f>
        <v>-30000</v>
      </c>
      <c r="C97" s="40"/>
      <c r="D97" s="40"/>
      <c r="E97" s="40"/>
      <c r="F97" s="40">
        <f>SUM(F80:F96)</f>
        <v>8467.0833333333339</v>
      </c>
      <c r="G97" s="40">
        <f>SUM(G80:G96)</f>
        <v>2737.745899516116</v>
      </c>
      <c r="H97" s="40">
        <f>SUM(H80:H96)</f>
        <v>3769.5472123897589</v>
      </c>
      <c r="I97" s="40">
        <f>SUM(I80:I96)</f>
        <v>3753.4437607174241</v>
      </c>
      <c r="J97" s="40">
        <f t="shared" ref="J97:O97" si="51">SUM(J80:J96)</f>
        <v>7205.6371867945199</v>
      </c>
      <c r="K97" s="40">
        <f t="shared" si="51"/>
        <v>6558.044408354368</v>
      </c>
      <c r="L97" s="40">
        <f t="shared" si="51"/>
        <v>5509.6386323501592</v>
      </c>
      <c r="M97" s="40">
        <f t="shared" si="51"/>
        <v>3238.2362299801371</v>
      </c>
      <c r="N97" s="40">
        <f t="shared" si="51"/>
        <v>4423.395887459892</v>
      </c>
      <c r="O97" s="41">
        <f t="shared" si="51"/>
        <v>-1667.8160189040445</v>
      </c>
    </row>
    <row r="98" spans="1:15" x14ac:dyDescent="0.25">
      <c r="A98" s="16" t="s">
        <v>87</v>
      </c>
      <c r="B98" s="22">
        <f>PV($B$66,B78,0,-B97)</f>
        <v>-30000</v>
      </c>
      <c r="C98" s="22"/>
      <c r="D98" s="22"/>
      <c r="E98" s="22"/>
      <c r="F98" s="22">
        <f>PV($B$66,F78,0,-F97)</f>
        <v>7750.017956242441</v>
      </c>
      <c r="G98" s="22">
        <f>PV($B$66,G78,0,-G97)</f>
        <v>2293.6697469939131</v>
      </c>
      <c r="H98" s="22">
        <f>PV($B$66,H78,0,-H97)</f>
        <v>2890.651999643183</v>
      </c>
      <c r="I98" s="22">
        <f>PV($B$66,I78,0,-I97)</f>
        <v>2634.543728601182</v>
      </c>
      <c r="J98" s="22">
        <f t="shared" ref="J98:O98" si="52">PV($B$66,J78,0,-J97)</f>
        <v>4629.3153290052605</v>
      </c>
      <c r="K98" s="22">
        <f t="shared" si="52"/>
        <v>3856.4490750894133</v>
      </c>
      <c r="L98" s="22">
        <f t="shared" si="52"/>
        <v>2965.5499086704913</v>
      </c>
      <c r="M98" s="22">
        <f t="shared" si="52"/>
        <v>1595.3630318941564</v>
      </c>
      <c r="N98" s="22">
        <f t="shared" si="52"/>
        <v>1994.6912439094976</v>
      </c>
      <c r="O98" s="23">
        <f t="shared" si="52"/>
        <v>-688.39369952511743</v>
      </c>
    </row>
    <row r="99" spans="1:15" x14ac:dyDescent="0.25">
      <c r="A99" s="16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7"/>
    </row>
    <row r="100" spans="1:15" x14ac:dyDescent="0.25">
      <c r="A100" s="16" t="s">
        <v>88</v>
      </c>
      <c r="B100" s="22">
        <f>SUM(B98:O98)</f>
        <v>-78.141679475580531</v>
      </c>
      <c r="C100" s="22"/>
      <c r="D100" s="22"/>
      <c r="E100" s="22"/>
      <c r="F100" s="12"/>
      <c r="G100" s="12"/>
      <c r="H100" s="12"/>
      <c r="I100" s="12"/>
      <c r="J100" s="12"/>
      <c r="K100" s="12"/>
      <c r="L100" s="12"/>
      <c r="M100" s="12"/>
      <c r="N100" s="12"/>
      <c r="O100" s="17"/>
    </row>
    <row r="101" spans="1:15" x14ac:dyDescent="0.25">
      <c r="A101" s="18" t="s">
        <v>89</v>
      </c>
      <c r="B101" s="55">
        <f>IRR(B97:O97)</f>
        <v>9.1828454039086571E-2</v>
      </c>
      <c r="C101" s="55"/>
      <c r="D101" s="55"/>
      <c r="E101" s="55"/>
      <c r="F101" s="19"/>
      <c r="G101" s="19"/>
      <c r="H101" s="19"/>
      <c r="I101" s="19"/>
      <c r="J101" s="19"/>
      <c r="K101" s="19"/>
      <c r="L101" s="19"/>
      <c r="M101" s="19"/>
      <c r="N101" s="19"/>
      <c r="O101" s="20"/>
    </row>
    <row r="110" spans="1:15" x14ac:dyDescent="0.25">
      <c r="B110">
        <v>1</v>
      </c>
      <c r="C110">
        <v>2</v>
      </c>
      <c r="D110">
        <v>3</v>
      </c>
      <c r="E110">
        <v>4</v>
      </c>
      <c r="F110">
        <v>5</v>
      </c>
      <c r="G110">
        <v>6</v>
      </c>
      <c r="H110">
        <v>7</v>
      </c>
      <c r="I110">
        <v>8</v>
      </c>
      <c r="J110">
        <v>9</v>
      </c>
      <c r="K110">
        <v>10</v>
      </c>
    </row>
    <row r="111" spans="1:15" x14ac:dyDescent="0.25">
      <c r="B111">
        <v>50000</v>
      </c>
      <c r="C111">
        <v>50000</v>
      </c>
      <c r="D111">
        <v>55000</v>
      </c>
      <c r="E111">
        <v>60000</v>
      </c>
      <c r="F111">
        <v>65000</v>
      </c>
      <c r="G111">
        <v>65000</v>
      </c>
      <c r="H111">
        <v>65000</v>
      </c>
      <c r="I111">
        <v>65000</v>
      </c>
      <c r="J111">
        <v>65000</v>
      </c>
      <c r="K111">
        <v>65000</v>
      </c>
    </row>
    <row r="112" spans="1:15" x14ac:dyDescent="0.25">
      <c r="B112" s="9">
        <f>PV($B$66,B110,,-B111)</f>
        <v>45765.570333600357</v>
      </c>
      <c r="C112" s="9">
        <f t="shared" ref="C112:K112" si="53">PV($B$66,C110,,-C111)</f>
        <v>41889.748559194421</v>
      </c>
      <c r="D112" s="9">
        <f t="shared" si="53"/>
        <v>42176.381146738226</v>
      </c>
      <c r="E112" s="9">
        <f t="shared" si="53"/>
        <v>42114.02482446075</v>
      </c>
      <c r="F112" s="9">
        <f t="shared" si="53"/>
        <v>41759.73457792175</v>
      </c>
      <c r="G112" s="9">
        <f t="shared" si="53"/>
        <v>38223.161398767217</v>
      </c>
      <c r="H112" s="9">
        <f t="shared" si="53"/>
        <v>34986.095627356786</v>
      </c>
      <c r="I112" s="9">
        <f t="shared" si="53"/>
        <v>32023.172402637298</v>
      </c>
      <c r="J112" s="9">
        <f t="shared" si="53"/>
        <v>29311.174977958144</v>
      </c>
      <c r="K112" s="9">
        <f t="shared" si="53"/>
        <v>26828.852800284207</v>
      </c>
    </row>
    <row r="115" spans="2:2" x14ac:dyDescent="0.25">
      <c r="B115" s="9">
        <f>SUM(B112:K112)</f>
        <v>375077.91664891917</v>
      </c>
    </row>
  </sheetData>
  <mergeCells count="2">
    <mergeCell ref="A30:K30"/>
    <mergeCell ref="A41:K4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2013-12-19T19:16:39Z</dcterms:created>
  <dcterms:modified xsi:type="dcterms:W3CDTF">2019-05-17T21:05:36Z</dcterms:modified>
</cp:coreProperties>
</file>