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9200" windowHeight="8625"/>
  </bookViews>
  <sheets>
    <sheet name="Sheet1" sheetId="1" r:id="rId1"/>
    <sheet name="Sheet2" sheetId="2" r:id="rId2"/>
    <sheet name="Sheet3" sheetId="3" r:id="rId3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Sheet1!$H$53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D135" i="1" l="1"/>
  <c r="D110" i="1"/>
  <c r="D126" i="1"/>
  <c r="D117" i="1"/>
  <c r="D113" i="1"/>
  <c r="D94" i="1"/>
  <c r="O173" i="1"/>
  <c r="G165" i="1"/>
  <c r="H165" i="1"/>
  <c r="I165" i="1"/>
  <c r="J165" i="1"/>
  <c r="K165" i="1"/>
  <c r="L165" i="1"/>
  <c r="M165" i="1"/>
  <c r="N165" i="1"/>
  <c r="O165" i="1"/>
  <c r="F165" i="1"/>
  <c r="G162" i="1"/>
  <c r="H162" i="1"/>
  <c r="I162" i="1"/>
  <c r="J162" i="1"/>
  <c r="K162" i="1"/>
  <c r="L162" i="1"/>
  <c r="M162" i="1"/>
  <c r="N162" i="1"/>
  <c r="O162" i="1"/>
  <c r="F162" i="1"/>
  <c r="G160" i="1"/>
  <c r="H160" i="1"/>
  <c r="I160" i="1"/>
  <c r="J160" i="1"/>
  <c r="K160" i="1"/>
  <c r="L160" i="1"/>
  <c r="M160" i="1"/>
  <c r="N160" i="1"/>
  <c r="O160" i="1"/>
  <c r="F160" i="1"/>
  <c r="H52" i="1"/>
  <c r="G52" i="1"/>
  <c r="F52" i="1"/>
  <c r="E56" i="1"/>
  <c r="F56" i="1"/>
  <c r="G56" i="1"/>
  <c r="H56" i="1"/>
  <c r="I56" i="1"/>
  <c r="J56" i="1"/>
  <c r="K56" i="1"/>
  <c r="L56" i="1"/>
  <c r="M56" i="1"/>
  <c r="D56" i="1"/>
  <c r="G148" i="1"/>
  <c r="H148" i="1"/>
  <c r="I148" i="1"/>
  <c r="J148" i="1"/>
  <c r="K148" i="1"/>
  <c r="L148" i="1"/>
  <c r="M148" i="1"/>
  <c r="N148" i="1"/>
  <c r="O148" i="1"/>
  <c r="F148" i="1"/>
  <c r="D119" i="1" l="1"/>
  <c r="D118" i="1"/>
  <c r="D130" i="1"/>
  <c r="H117" i="1"/>
  <c r="H116" i="1"/>
  <c r="E176" i="1" l="1"/>
  <c r="O170" i="1"/>
  <c r="O168" i="1"/>
  <c r="O169" i="1"/>
  <c r="G164" i="1"/>
  <c r="H164" i="1"/>
  <c r="I164" i="1"/>
  <c r="J164" i="1"/>
  <c r="K164" i="1"/>
  <c r="L164" i="1"/>
  <c r="M164" i="1"/>
  <c r="N164" i="1"/>
  <c r="O164" i="1"/>
  <c r="F164" i="1"/>
  <c r="O161" i="1"/>
  <c r="F144" i="1"/>
  <c r="G144" i="1" s="1"/>
  <c r="H144" i="1" s="1"/>
  <c r="I144" i="1" s="1"/>
  <c r="J144" i="1" s="1"/>
  <c r="K144" i="1" s="1"/>
  <c r="L144" i="1" s="1"/>
  <c r="M144" i="1" s="1"/>
  <c r="N144" i="1" s="1"/>
  <c r="O144" i="1" s="1"/>
  <c r="D50" i="1"/>
  <c r="E50" i="1" s="1"/>
  <c r="F50" i="1" s="1"/>
  <c r="G50" i="1" s="1"/>
  <c r="H50" i="1" s="1"/>
  <c r="I50" i="1" s="1"/>
  <c r="J50" i="1" s="1"/>
  <c r="K50" i="1" s="1"/>
  <c r="L50" i="1" s="1"/>
  <c r="M50" i="1" s="1"/>
  <c r="D31" i="1"/>
  <c r="E31" i="1" s="1"/>
  <c r="F31" i="1" s="1"/>
  <c r="G31" i="1" s="1"/>
  <c r="H31" i="1" s="1"/>
  <c r="I31" i="1" s="1"/>
  <c r="J31" i="1" s="1"/>
  <c r="K31" i="1" s="1"/>
  <c r="L31" i="1" s="1"/>
  <c r="M31" i="1" s="1"/>
  <c r="D131" i="1" l="1"/>
  <c r="D108" i="1"/>
  <c r="D121" i="1" s="1"/>
  <c r="D99" i="1"/>
  <c r="D100" i="1" s="1"/>
  <c r="D41" i="1"/>
  <c r="D21" i="1"/>
  <c r="D32" i="1" s="1"/>
  <c r="H59" i="1"/>
  <c r="H58" i="1"/>
  <c r="I154" i="1" s="1"/>
  <c r="I58" i="1"/>
  <c r="J58" i="1"/>
  <c r="K154" i="1" s="1"/>
  <c r="K58" i="1"/>
  <c r="L58" i="1"/>
  <c r="M154" i="1" s="1"/>
  <c r="M58" i="1"/>
  <c r="H55" i="1"/>
  <c r="I55" i="1"/>
  <c r="J55" i="1"/>
  <c r="K55" i="1"/>
  <c r="L55" i="1"/>
  <c r="M55" i="1"/>
  <c r="H44" i="1"/>
  <c r="I44" i="1"/>
  <c r="J44" i="1"/>
  <c r="K44" i="1"/>
  <c r="L44" i="1"/>
  <c r="M44" i="1"/>
  <c r="H42" i="1"/>
  <c r="I42" i="1"/>
  <c r="J42" i="1"/>
  <c r="K42" i="1"/>
  <c r="L42" i="1"/>
  <c r="M42" i="1"/>
  <c r="H40" i="1"/>
  <c r="I40" i="1"/>
  <c r="J40" i="1"/>
  <c r="K40" i="1"/>
  <c r="L40" i="1"/>
  <c r="M40" i="1"/>
  <c r="H38" i="1"/>
  <c r="I38" i="1"/>
  <c r="J38" i="1"/>
  <c r="K38" i="1"/>
  <c r="L38" i="1"/>
  <c r="M38" i="1"/>
  <c r="H37" i="1"/>
  <c r="I37" i="1"/>
  <c r="J37" i="1"/>
  <c r="K37" i="1"/>
  <c r="L37" i="1"/>
  <c r="M37" i="1"/>
  <c r="G37" i="1"/>
  <c r="F37" i="1"/>
  <c r="E37" i="1"/>
  <c r="D37" i="1"/>
  <c r="E21" i="1" l="1"/>
  <c r="E42" i="1"/>
  <c r="F42" i="1"/>
  <c r="G42" i="1"/>
  <c r="D42" i="1"/>
  <c r="E58" i="1" l="1"/>
  <c r="F58" i="1"/>
  <c r="G154" i="1" s="1"/>
  <c r="G58" i="1"/>
  <c r="D58" i="1"/>
  <c r="E154" i="1" s="1"/>
  <c r="E59" i="1"/>
  <c r="F59" i="1"/>
  <c r="G59" i="1"/>
  <c r="D59" i="1"/>
  <c r="E153" i="1" s="1"/>
  <c r="E55" i="1"/>
  <c r="F55" i="1"/>
  <c r="G55" i="1"/>
  <c r="D55" i="1"/>
  <c r="E38" i="1"/>
  <c r="F38" i="1"/>
  <c r="G38" i="1"/>
  <c r="D38" i="1"/>
  <c r="E40" i="1"/>
  <c r="F40" i="1"/>
  <c r="G40" i="1"/>
  <c r="D40" i="1"/>
  <c r="E44" i="1"/>
  <c r="F44" i="1"/>
  <c r="G44" i="1"/>
  <c r="D44" i="1"/>
  <c r="D36" i="1"/>
  <c r="E8" i="1"/>
  <c r="E36" i="1" s="1"/>
  <c r="D33" i="1"/>
  <c r="E33" i="1"/>
  <c r="D11" i="1"/>
  <c r="D39" i="1" s="1"/>
  <c r="D12" i="1"/>
  <c r="E43" i="1" l="1"/>
  <c r="H43" i="1"/>
  <c r="J43" i="1"/>
  <c r="L43" i="1"/>
  <c r="I43" i="1"/>
  <c r="K43" i="1"/>
  <c r="M43" i="1"/>
  <c r="F21" i="1"/>
  <c r="G21" i="1" s="1"/>
  <c r="F43" i="1"/>
  <c r="F8" i="1"/>
  <c r="G8" i="1" s="1"/>
  <c r="D43" i="1"/>
  <c r="D60" i="1"/>
  <c r="E60" i="1" s="1"/>
  <c r="F60" i="1" s="1"/>
  <c r="G60" i="1" s="1"/>
  <c r="H60" i="1" s="1"/>
  <c r="E32" i="1"/>
  <c r="E34" i="1" s="1"/>
  <c r="E45" i="1" s="1"/>
  <c r="G145" i="1" s="1"/>
  <c r="G43" i="1"/>
  <c r="D34" i="1"/>
  <c r="D45" i="1" s="1"/>
  <c r="D47" i="1" l="1"/>
  <c r="D48" i="1" s="1"/>
  <c r="D71" i="1" s="1"/>
  <c r="F145" i="1"/>
  <c r="F149" i="1"/>
  <c r="F146" i="1"/>
  <c r="H149" i="1"/>
  <c r="H146" i="1"/>
  <c r="O149" i="1"/>
  <c r="O146" i="1"/>
  <c r="K146" i="1"/>
  <c r="K149" i="1"/>
  <c r="L149" i="1"/>
  <c r="L146" i="1"/>
  <c r="G146" i="1"/>
  <c r="G147" i="1" s="1"/>
  <c r="G149" i="1"/>
  <c r="I149" i="1"/>
  <c r="I146" i="1"/>
  <c r="M146" i="1"/>
  <c r="M149" i="1"/>
  <c r="N146" i="1"/>
  <c r="N149" i="1"/>
  <c r="J146" i="1"/>
  <c r="J149" i="1"/>
  <c r="I60" i="1"/>
  <c r="H61" i="1"/>
  <c r="H63" i="1" s="1"/>
  <c r="H8" i="1"/>
  <c r="G36" i="1"/>
  <c r="G33" i="1"/>
  <c r="H21" i="1"/>
  <c r="G32" i="1"/>
  <c r="D61" i="1"/>
  <c r="D63" i="1" s="1"/>
  <c r="G61" i="1"/>
  <c r="G63" i="1" s="1"/>
  <c r="F33" i="1"/>
  <c r="F61" i="1"/>
  <c r="F63" i="1" s="1"/>
  <c r="E61" i="1"/>
  <c r="E63" i="1" s="1"/>
  <c r="F32" i="1"/>
  <c r="F36" i="1"/>
  <c r="G34" i="1"/>
  <c r="E47" i="1"/>
  <c r="E48" i="1" l="1"/>
  <c r="E71" i="1" s="1"/>
  <c r="F147" i="1"/>
  <c r="F150" i="1" s="1"/>
  <c r="G150" i="1"/>
  <c r="G176" i="1" s="1"/>
  <c r="G45" i="1"/>
  <c r="I21" i="1"/>
  <c r="H33" i="1"/>
  <c r="H32" i="1"/>
  <c r="I8" i="1"/>
  <c r="H36" i="1"/>
  <c r="J60" i="1"/>
  <c r="I61" i="1"/>
  <c r="I63" i="1" s="1"/>
  <c r="D72" i="1"/>
  <c r="D74" i="1" s="1"/>
  <c r="D76" i="1" s="1"/>
  <c r="F34" i="1"/>
  <c r="F45" i="1" s="1"/>
  <c r="H145" i="1" s="1"/>
  <c r="H147" i="1" s="1"/>
  <c r="F176" i="1" l="1"/>
  <c r="G47" i="1"/>
  <c r="I145" i="1"/>
  <c r="I147" i="1" s="1"/>
  <c r="H34" i="1"/>
  <c r="H45" i="1" s="1"/>
  <c r="K60" i="1"/>
  <c r="J61" i="1"/>
  <c r="J63" i="1" s="1"/>
  <c r="J8" i="1"/>
  <c r="I36" i="1"/>
  <c r="I33" i="1"/>
  <c r="I32" i="1"/>
  <c r="J21" i="1"/>
  <c r="E72" i="1"/>
  <c r="E74" i="1" s="1"/>
  <c r="E76" i="1" s="1"/>
  <c r="F47" i="1"/>
  <c r="H47" i="1" l="1"/>
  <c r="J145" i="1"/>
  <c r="J147" i="1" s="1"/>
  <c r="G48" i="1"/>
  <c r="I150" i="1"/>
  <c r="I176" i="1" s="1"/>
  <c r="F48" i="1"/>
  <c r="F71" i="1" s="1"/>
  <c r="H150" i="1"/>
  <c r="H176" i="1" s="1"/>
  <c r="K8" i="1"/>
  <c r="J36" i="1"/>
  <c r="L60" i="1"/>
  <c r="K61" i="1"/>
  <c r="K63" i="1" s="1"/>
  <c r="I34" i="1"/>
  <c r="I45" i="1" s="1"/>
  <c r="K145" i="1" s="1"/>
  <c r="K147" i="1" s="1"/>
  <c r="J33" i="1"/>
  <c r="K21" i="1"/>
  <c r="J32" i="1"/>
  <c r="J150" i="1" l="1"/>
  <c r="H48" i="1"/>
  <c r="J34" i="1"/>
  <c r="K33" i="1"/>
  <c r="L21" i="1"/>
  <c r="K32" i="1"/>
  <c r="K34" i="1" s="1"/>
  <c r="G71" i="1"/>
  <c r="F72" i="1"/>
  <c r="F74" i="1" s="1"/>
  <c r="F76" i="1" s="1"/>
  <c r="J45" i="1"/>
  <c r="L145" i="1" s="1"/>
  <c r="L147" i="1" s="1"/>
  <c r="I47" i="1"/>
  <c r="M60" i="1"/>
  <c r="L61" i="1"/>
  <c r="L63" i="1" s="1"/>
  <c r="L8" i="1"/>
  <c r="K36" i="1"/>
  <c r="J176" i="1" l="1"/>
  <c r="I48" i="1"/>
  <c r="K150" i="1"/>
  <c r="K176" i="1" s="1"/>
  <c r="K45" i="1"/>
  <c r="M8" i="1"/>
  <c r="L36" i="1"/>
  <c r="M61" i="1"/>
  <c r="M63" i="1" s="1"/>
  <c r="J47" i="1"/>
  <c r="G72" i="1"/>
  <c r="G74" i="1" s="1"/>
  <c r="G76" i="1" s="1"/>
  <c r="H71" i="1"/>
  <c r="L33" i="1"/>
  <c r="M21" i="1"/>
  <c r="L32" i="1"/>
  <c r="L34" i="1" s="1"/>
  <c r="J48" i="1" l="1"/>
  <c r="L150" i="1"/>
  <c r="L176" i="1" s="1"/>
  <c r="K47" i="1"/>
  <c r="M145" i="1"/>
  <c r="M147" i="1" s="1"/>
  <c r="L45" i="1"/>
  <c r="M33" i="1"/>
  <c r="M32" i="1"/>
  <c r="I71" i="1"/>
  <c r="H72" i="1"/>
  <c r="H74" i="1" s="1"/>
  <c r="H76" i="1" s="1"/>
  <c r="N8" i="1"/>
  <c r="M36" i="1"/>
  <c r="L47" i="1" l="1"/>
  <c r="N145" i="1"/>
  <c r="N147" i="1" s="1"/>
  <c r="K48" i="1"/>
  <c r="M150" i="1"/>
  <c r="M176" i="1" s="1"/>
  <c r="M34" i="1"/>
  <c r="M45" i="1" s="1"/>
  <c r="O145" i="1" s="1"/>
  <c r="O147" i="1" s="1"/>
  <c r="J71" i="1"/>
  <c r="I72" i="1"/>
  <c r="I74" i="1" s="1"/>
  <c r="I76" i="1" s="1"/>
  <c r="L48" i="1" l="1"/>
  <c r="N150" i="1"/>
  <c r="N176" i="1" s="1"/>
  <c r="M47" i="1"/>
  <c r="K71" i="1"/>
  <c r="J72" i="1"/>
  <c r="J74" i="1" s="1"/>
  <c r="J76" i="1" s="1"/>
  <c r="M48" i="1" l="1"/>
  <c r="O150" i="1"/>
  <c r="L71" i="1"/>
  <c r="K72" i="1"/>
  <c r="K74" i="1" s="1"/>
  <c r="K76" i="1" s="1"/>
  <c r="O176" i="1" l="1"/>
  <c r="E181" i="1" s="1"/>
  <c r="M71" i="1"/>
  <c r="L72" i="1"/>
  <c r="L74" i="1" s="1"/>
  <c r="L76" i="1" s="1"/>
  <c r="M72" i="1" l="1"/>
  <c r="M74" i="1" l="1"/>
  <c r="M76" i="1" s="1"/>
  <c r="O71" i="1"/>
  <c r="D112" i="1" s="1"/>
  <c r="O72" i="1"/>
  <c r="D111" i="1" s="1"/>
  <c r="D136" i="1" l="1"/>
  <c r="D123" i="1"/>
  <c r="D137" i="1"/>
  <c r="D124" i="1"/>
  <c r="D133" i="1" l="1"/>
  <c r="D138" i="1" s="1"/>
  <c r="E179" i="1" s="1"/>
  <c r="E177" i="1" l="1"/>
  <c r="G177" i="1"/>
  <c r="F177" i="1"/>
  <c r="I177" i="1"/>
  <c r="H177" i="1"/>
  <c r="J177" i="1"/>
  <c r="K177" i="1"/>
  <c r="L177" i="1"/>
  <c r="M177" i="1"/>
  <c r="N177" i="1"/>
  <c r="O177" i="1"/>
  <c r="E180" i="1" l="1"/>
</calcChain>
</file>

<file path=xl/sharedStrings.xml><?xml version="1.0" encoding="utf-8"?>
<sst xmlns="http://schemas.openxmlformats.org/spreadsheetml/2006/main" count="164" uniqueCount="139">
  <si>
    <t>Income Statement</t>
  </si>
  <si>
    <t>Sales</t>
  </si>
  <si>
    <t>Cost of Goods Sold</t>
  </si>
  <si>
    <t>Gross Profit</t>
  </si>
  <si>
    <t>Marketing Expense</t>
  </si>
  <si>
    <t>Depreciation Expense</t>
  </si>
  <si>
    <t>Pretax Income</t>
  </si>
  <si>
    <t>Income Tax</t>
  </si>
  <si>
    <t>Net Income</t>
  </si>
  <si>
    <t>Balance Sheet</t>
  </si>
  <si>
    <t>Assets</t>
  </si>
  <si>
    <t>Accounts Receivable</t>
  </si>
  <si>
    <t>Inventory</t>
  </si>
  <si>
    <t>Total Current Assets</t>
  </si>
  <si>
    <t>Gross PP&amp;E</t>
  </si>
  <si>
    <t>Accumulated Depreciation</t>
  </si>
  <si>
    <t>Net PP&amp;E</t>
  </si>
  <si>
    <t>Total Assets</t>
  </si>
  <si>
    <t>Liability and Shareholders Equity</t>
  </si>
  <si>
    <t>Accounts Payable</t>
  </si>
  <si>
    <t>Maturities on Long-term Debt</t>
  </si>
  <si>
    <t>Retained Earnings</t>
  </si>
  <si>
    <t>Total Shareholders Equity</t>
  </si>
  <si>
    <t>Total Liabilities and Share Equity</t>
  </si>
  <si>
    <t>Assumptions</t>
  </si>
  <si>
    <t>Wholesale cost of t-shirt</t>
  </si>
  <si>
    <t>Rising Cost Rate (Inflation 3%)</t>
  </si>
  <si>
    <t xml:space="preserve">Based on </t>
  </si>
  <si>
    <t>Printing Costs for Ink</t>
  </si>
  <si>
    <t>Based on Amazon.com</t>
  </si>
  <si>
    <t>Cost of BW Print Screens</t>
  </si>
  <si>
    <t>Screen Printing Machine Starter Kits</t>
  </si>
  <si>
    <t>Utilities Expense</t>
  </si>
  <si>
    <t>Licensing Expense</t>
  </si>
  <si>
    <t>Online Maintenance Expense</t>
  </si>
  <si>
    <t>Inventory Turnover Ratio</t>
  </si>
  <si>
    <t>Processing Credit Card Expense</t>
  </si>
  <si>
    <t>Based on Paypal</t>
  </si>
  <si>
    <t>Collection Period</t>
  </si>
  <si>
    <t>Payment Period</t>
  </si>
  <si>
    <t>Selling Price</t>
  </si>
  <si>
    <t>Sales per year Assuming that he will sell 25 per month</t>
  </si>
  <si>
    <t>Projected Growth 10% Annual Growth</t>
  </si>
  <si>
    <t>Depreciation Expense (5 years)</t>
  </si>
  <si>
    <t>65 for llc, 79 for state fees, 50 for county</t>
  </si>
  <si>
    <t>One time deal</t>
  </si>
  <si>
    <t>In his house, so just for the added electricity</t>
  </si>
  <si>
    <t>Annual Fee</t>
  </si>
  <si>
    <t>Increase Marketing Expense 10%</t>
  </si>
  <si>
    <t>Hosting Fee</t>
  </si>
  <si>
    <t>License Fees</t>
  </si>
  <si>
    <t>Initial Licensing Expense</t>
  </si>
  <si>
    <t>Tax Rate</t>
  </si>
  <si>
    <t>500 dollar minimum</t>
  </si>
  <si>
    <t>Equipment (Screens)</t>
  </si>
  <si>
    <t>Self Employee Expense</t>
  </si>
  <si>
    <t>DFN</t>
  </si>
  <si>
    <t>Issues</t>
  </si>
  <si>
    <t>We have no idea how much he could really sell. We don't know what the demand would be or what share of the market he would get.</t>
  </si>
  <si>
    <t>We aren't sure if he is going to take a wage, or if he just wants to take it all</t>
  </si>
  <si>
    <t>We don't know how many designs he is going to make</t>
  </si>
  <si>
    <t>The rising cost of ink</t>
  </si>
  <si>
    <t>How much can he grow before he has to move somewhere else</t>
  </si>
  <si>
    <t>How much time he can dedicate to this business</t>
  </si>
  <si>
    <t>Sole proprietorship or LLC</t>
  </si>
  <si>
    <t>How long a printing machine will reasonably last</t>
  </si>
  <si>
    <t>From Shirtchamp.com</t>
  </si>
  <si>
    <t>Equity (His Money)</t>
  </si>
  <si>
    <t>Loan</t>
  </si>
  <si>
    <t>Interest on Loan</t>
  </si>
  <si>
    <t>Hours worked per week</t>
  </si>
  <si>
    <t>Wage per hour</t>
  </si>
  <si>
    <t>Interest Expense</t>
  </si>
  <si>
    <t>Bank Loan</t>
  </si>
  <si>
    <t>Rent Expense</t>
  </si>
  <si>
    <t>Rent Expense per month</t>
  </si>
  <si>
    <t>T-shirts sold in North America each year</t>
  </si>
  <si>
    <t xml:space="preserve">Forecasted % of the market LowTechT's </t>
  </si>
  <si>
    <t>WACC</t>
  </si>
  <si>
    <t>CAPM to determine the return for equity holders</t>
  </si>
  <si>
    <t>Projected Return of T-Bills</t>
  </si>
  <si>
    <t>Projected Return of S&amp;P 500</t>
  </si>
  <si>
    <t>Risk Premium of S&amp;P 500</t>
  </si>
  <si>
    <t>(EMRP)</t>
  </si>
  <si>
    <t>Current Equity Holders Return (cost)</t>
  </si>
  <si>
    <t>Blended Cost of Debt- to determine the return (cost) for debt holders</t>
  </si>
  <si>
    <t>Mortgage on Buildings</t>
  </si>
  <si>
    <t>Bank Loans</t>
  </si>
  <si>
    <t>Current Cost of Debt</t>
  </si>
  <si>
    <t>Beta</t>
  </si>
  <si>
    <t>WACC 2021</t>
  </si>
  <si>
    <t>Tax Rate of the company</t>
  </si>
  <si>
    <t>Hanes Brands Inc.</t>
  </si>
  <si>
    <t>Current Beta (equity beta)</t>
  </si>
  <si>
    <t>Proportion of Debt</t>
  </si>
  <si>
    <t>Proportion of Equity</t>
  </si>
  <si>
    <t>Proportion</t>
  </si>
  <si>
    <t>Cost/Interest Rate</t>
  </si>
  <si>
    <t>Unlever and Relever the Beta</t>
  </si>
  <si>
    <t>Old (equity) Beta</t>
  </si>
  <si>
    <t>Current Debt Proportion</t>
  </si>
  <si>
    <t>Current Equity Proportion</t>
  </si>
  <si>
    <t>New Debt Proportion</t>
  </si>
  <si>
    <t>New Equity Proportion</t>
  </si>
  <si>
    <t>Relevered Beta</t>
  </si>
  <si>
    <t>FREE CASH FLOWS, NPV, IRR</t>
  </si>
  <si>
    <t>Cash from operations</t>
  </si>
  <si>
    <t>Operating Profit</t>
  </si>
  <si>
    <t>Less: Depreciation</t>
  </si>
  <si>
    <t xml:space="preserve"> - Sub Total</t>
  </si>
  <si>
    <t>Tax on Operations (also = Taxes Payable)</t>
  </si>
  <si>
    <t>Add: Back: Depreciation</t>
  </si>
  <si>
    <t>Total Cash From Operations</t>
  </si>
  <si>
    <t>Cash from Capital Expendatures</t>
  </si>
  <si>
    <t>Changes in working capital</t>
  </si>
  <si>
    <t>-</t>
  </si>
  <si>
    <t>Cash Inventory (Min. Cash Balance)</t>
  </si>
  <si>
    <t>Inventories</t>
  </si>
  <si>
    <t>+</t>
  </si>
  <si>
    <t>Accounts Payable - COGS</t>
  </si>
  <si>
    <t>Income Tax Payable</t>
  </si>
  <si>
    <t>Liquidation of Working Capital</t>
  </si>
  <si>
    <t>TOTAL FREE CASH FLOWS</t>
  </si>
  <si>
    <t>PV OF FREE CASH FLOWS</t>
  </si>
  <si>
    <t>NPV</t>
  </si>
  <si>
    <t>IRR</t>
  </si>
  <si>
    <t>Purchase Machines</t>
  </si>
  <si>
    <t>Purchase Equipment</t>
  </si>
  <si>
    <t>Sell Machines</t>
  </si>
  <si>
    <t>Sell Equipment</t>
  </si>
  <si>
    <t>Gildan Activewear Inc.</t>
  </si>
  <si>
    <t>debt</t>
  </si>
  <si>
    <t>GILDAN</t>
  </si>
  <si>
    <t>equity</t>
  </si>
  <si>
    <t>Unlevered Beta</t>
  </si>
  <si>
    <t>Minimum Cash Balance</t>
  </si>
  <si>
    <t>Above Minimum Cash</t>
  </si>
  <si>
    <t>Average</t>
  </si>
  <si>
    <t>New CAPM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</si>
</sst>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000000%"/>
    <numFmt numFmtId="165" formatCode="_(\$* #,##0.00_);_(\$* \(#,##0.00\);_(\$* \-??_);_(@_)"/>
    <numFmt numFmtId="166" formatCode="_(\$* #,##0_);_(\$* \(#,##0\);_(\$* \-??_);_(@_)"/>
    <numFmt numFmtId="167" formatCode="_(* #,##0.00_);_(* \(#,##0.00\);_(* \-??_);_(@_)"/>
    <numFmt numFmtId="168" formatCode="0.000%"/>
    <numFmt numFmtId="169" formatCode="0.00000%"/>
    <numFmt numFmtId="170" formatCode="0.0%"/>
    <numFmt numFmtId="171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3" fillId="0" borderId="0"/>
    <xf numFmtId="167" fontId="4" fillId="0" borderId="0"/>
    <xf numFmtId="165" fontId="4" fillId="0" borderId="0"/>
    <xf numFmtId="0" fontId="4" fillId="0" borderId="0"/>
    <xf numFmtId="9" fontId="4" fillId="0" borderId="0"/>
    <xf numFmtId="44" fontId="2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1" fontId="0" fillId="0" borderId="0" xfId="0" applyNumberFormat="1"/>
    <xf numFmtId="1" fontId="0" fillId="0" borderId="1" xfId="0" applyNumberFormat="1" applyBorder="1"/>
    <xf numFmtId="0" fontId="1" fillId="0" borderId="1" xfId="0" applyFont="1" applyBorder="1"/>
    <xf numFmtId="6" fontId="0" fillId="0" borderId="0" xfId="0" applyNumberFormat="1"/>
    <xf numFmtId="10" fontId="0" fillId="0" borderId="0" xfId="0" applyNumberFormat="1"/>
    <xf numFmtId="0" fontId="0" fillId="0" borderId="0" xfId="0" applyNumberFormat="1"/>
    <xf numFmtId="8" fontId="0" fillId="0" borderId="0" xfId="0" applyNumberFormat="1"/>
    <xf numFmtId="0" fontId="0" fillId="0" borderId="0" xfId="0"/>
    <xf numFmtId="6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/>
    <xf numFmtId="0" fontId="1" fillId="0" borderId="0" xfId="0" applyFont="1"/>
    <xf numFmtId="1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0" fillId="0" borderId="0" xfId="0" applyNumberFormat="1"/>
    <xf numFmtId="0" fontId="1" fillId="0" borderId="0" xfId="0" applyFont="1" applyBorder="1"/>
    <xf numFmtId="8" fontId="0" fillId="0" borderId="0" xfId="0" applyNumberFormat="1" applyBorder="1"/>
    <xf numFmtId="0" fontId="0" fillId="0" borderId="0" xfId="0" applyBorder="1"/>
    <xf numFmtId="1" fontId="0" fillId="0" borderId="0" xfId="0" applyNumberFormat="1" applyBorder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9" fontId="0" fillId="0" borderId="6" xfId="0" applyNumberFormat="1" applyBorder="1"/>
    <xf numFmtId="0" fontId="0" fillId="0" borderId="7" xfId="0" applyBorder="1"/>
    <xf numFmtId="9" fontId="0" fillId="0" borderId="8" xfId="0" applyNumberFormat="1" applyBorder="1"/>
    <xf numFmtId="0" fontId="1" fillId="0" borderId="0" xfId="0" applyFont="1" applyFill="1" applyBorder="1"/>
    <xf numFmtId="0" fontId="3" fillId="0" borderId="0" xfId="2"/>
    <xf numFmtId="0" fontId="4" fillId="0" borderId="0" xfId="5"/>
    <xf numFmtId="166" fontId="4" fillId="0" borderId="0" xfId="5" applyNumberFormat="1"/>
    <xf numFmtId="166" fontId="4" fillId="0" borderId="0" xfId="4" applyNumberFormat="1"/>
    <xf numFmtId="0" fontId="7" fillId="0" borderId="0" xfId="5" applyFont="1"/>
    <xf numFmtId="0" fontId="8" fillId="0" borderId="0" xfId="5" applyFont="1"/>
    <xf numFmtId="0" fontId="4" fillId="0" borderId="0" xfId="5" quotePrefix="1"/>
    <xf numFmtId="0" fontId="0" fillId="0" borderId="1" xfId="0" applyBorder="1"/>
    <xf numFmtId="0" fontId="0" fillId="0" borderId="9" xfId="0" applyBorder="1"/>
    <xf numFmtId="0" fontId="6" fillId="0" borderId="1" xfId="2" applyFont="1" applyBorder="1"/>
    <xf numFmtId="166" fontId="5" fillId="0" borderId="1" xfId="5" applyNumberFormat="1" applyFont="1" applyBorder="1"/>
    <xf numFmtId="0" fontId="4" fillId="0" borderId="0" xfId="5" applyFill="1"/>
    <xf numFmtId="168" fontId="4" fillId="0" borderId="0" xfId="1" applyNumberFormat="1" applyFont="1"/>
    <xf numFmtId="169" fontId="0" fillId="0" borderId="0" xfId="0" applyNumberFormat="1"/>
    <xf numFmtId="0" fontId="0" fillId="0" borderId="0" xfId="0" applyAlignment="1">
      <alignment horizontal="right"/>
    </xf>
    <xf numFmtId="9" fontId="0" fillId="0" borderId="0" xfId="1" applyFont="1" applyFill="1" applyBorder="1"/>
    <xf numFmtId="9" fontId="0" fillId="0" borderId="0" xfId="0" applyNumberFormat="1"/>
    <xf numFmtId="10" fontId="0" fillId="0" borderId="0" xfId="1" applyNumberFormat="1" applyFont="1"/>
    <xf numFmtId="9" fontId="0" fillId="0" borderId="0" xfId="1" applyFont="1"/>
    <xf numFmtId="10" fontId="0" fillId="0" borderId="2" xfId="0" applyNumberFormat="1" applyBorder="1"/>
    <xf numFmtId="170" fontId="0" fillId="0" borderId="0" xfId="1" applyNumberFormat="1" applyFont="1"/>
    <xf numFmtId="10" fontId="0" fillId="0" borderId="2" xfId="1" applyNumberFormat="1" applyFont="1" applyBorder="1"/>
    <xf numFmtId="10" fontId="4" fillId="0" borderId="0" xfId="1" applyNumberFormat="1" applyFont="1"/>
    <xf numFmtId="10" fontId="0" fillId="0" borderId="4" xfId="1" applyNumberFormat="1" applyFont="1" applyBorder="1"/>
    <xf numFmtId="171" fontId="0" fillId="0" borderId="0" xfId="7" applyNumberFormat="1" applyFont="1"/>
  </cellXfs>
  <cellStyles count="8">
    <cellStyle name="Comma 2" xfId="3"/>
    <cellStyle name="Currency" xfId="7" builtinId="4"/>
    <cellStyle name="Currency 2" xfId="4"/>
    <cellStyle name="Excel Built-in Normal" xfId="5"/>
    <cellStyle name="Normal" xfId="0" builtinId="0"/>
    <cellStyle name="Normal 2" xfId="2"/>
    <cellStyle name="Percent" xfId="1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1"/>
  <sheetViews>
    <sheetView tabSelected="1" topLeftCell="A160" zoomScale="77" zoomScaleNormal="77" workbookViewId="0">
      <selection activeCell="K181" sqref="K181"/>
    </sheetView>
  </sheetViews>
  <sheetFormatPr defaultRowHeight="15" x14ac:dyDescent="0.25"/>
  <cols>
    <col min="2" max="2" width="36.28515625" customWidth="1"/>
    <col min="3" max="3" width="11.42578125" style="13" customWidth="1"/>
    <col min="4" max="4" width="15.140625" customWidth="1"/>
    <col min="5" max="5" width="14.140625" customWidth="1"/>
    <col min="9" max="9" width="11.28515625" bestFit="1" customWidth="1"/>
    <col min="14" max="14" width="9.85546875" bestFit="1" customWidth="1"/>
    <col min="15" max="15" width="9.85546875" customWidth="1"/>
  </cols>
  <sheetData>
    <row r="1" spans="1:14" x14ac:dyDescent="0.25">
      <c r="A1" s="39"/>
      <c r="B1" s="4" t="s">
        <v>24</v>
      </c>
      <c r="C1" s="4"/>
    </row>
    <row r="2" spans="1:14" x14ac:dyDescent="0.25">
      <c r="B2" t="s">
        <v>25</v>
      </c>
      <c r="D2" s="8">
        <v>3.44</v>
      </c>
      <c r="F2" t="s">
        <v>66</v>
      </c>
    </row>
    <row r="3" spans="1:14" x14ac:dyDescent="0.25">
      <c r="B3" t="s">
        <v>42</v>
      </c>
      <c r="D3" s="7">
        <v>1.1000000000000001</v>
      </c>
    </row>
    <row r="4" spans="1:14" x14ac:dyDescent="0.25">
      <c r="B4" t="s">
        <v>26</v>
      </c>
      <c r="D4">
        <v>1.03</v>
      </c>
    </row>
    <row r="5" spans="1:14" x14ac:dyDescent="0.25">
      <c r="B5" t="s">
        <v>28</v>
      </c>
      <c r="D5">
        <v>0.03</v>
      </c>
      <c r="E5" t="s">
        <v>27</v>
      </c>
    </row>
    <row r="6" spans="1:14" x14ac:dyDescent="0.25">
      <c r="B6" t="s">
        <v>31</v>
      </c>
      <c r="D6" s="5">
        <v>350</v>
      </c>
      <c r="E6" t="s">
        <v>29</v>
      </c>
    </row>
    <row r="7" spans="1:14" x14ac:dyDescent="0.25">
      <c r="B7" t="s">
        <v>30</v>
      </c>
      <c r="D7" s="5">
        <v>20</v>
      </c>
      <c r="E7" t="s">
        <v>29</v>
      </c>
    </row>
    <row r="8" spans="1:14" x14ac:dyDescent="0.25">
      <c r="B8" t="s">
        <v>4</v>
      </c>
      <c r="D8" s="5">
        <v>120</v>
      </c>
      <c r="E8" s="5">
        <f>D8*$D$9</f>
        <v>132</v>
      </c>
      <c r="F8" s="5">
        <f>E8*$D$9</f>
        <v>145.20000000000002</v>
      </c>
      <c r="G8" s="5">
        <f>F8*$D$9</f>
        <v>159.72000000000003</v>
      </c>
      <c r="H8" s="5">
        <f t="shared" ref="H8:N8" si="0">G8*$D$9</f>
        <v>175.69200000000004</v>
      </c>
      <c r="I8" s="5">
        <f t="shared" si="0"/>
        <v>193.26120000000006</v>
      </c>
      <c r="J8" s="5">
        <f t="shared" si="0"/>
        <v>212.58732000000009</v>
      </c>
      <c r="K8" s="5">
        <f t="shared" si="0"/>
        <v>233.84605200000013</v>
      </c>
      <c r="L8" s="5">
        <f t="shared" si="0"/>
        <v>257.23065720000017</v>
      </c>
      <c r="M8" s="5">
        <f t="shared" si="0"/>
        <v>282.95372292000019</v>
      </c>
      <c r="N8" s="5">
        <f t="shared" si="0"/>
        <v>311.24909521200021</v>
      </c>
    </row>
    <row r="9" spans="1:14" x14ac:dyDescent="0.25">
      <c r="B9" t="s">
        <v>48</v>
      </c>
      <c r="D9" s="7">
        <v>1.1000000000000001</v>
      </c>
    </row>
    <row r="10" spans="1:14" x14ac:dyDescent="0.25">
      <c r="B10" t="s">
        <v>32</v>
      </c>
      <c r="D10" s="5">
        <v>60</v>
      </c>
      <c r="H10" t="s">
        <v>46</v>
      </c>
    </row>
    <row r="11" spans="1:14" x14ac:dyDescent="0.25">
      <c r="B11" t="s">
        <v>33</v>
      </c>
      <c r="D11" s="5">
        <f>65+79+50</f>
        <v>194</v>
      </c>
      <c r="H11" t="s">
        <v>44</v>
      </c>
      <c r="J11" t="s">
        <v>45</v>
      </c>
    </row>
    <row r="12" spans="1:14" x14ac:dyDescent="0.25">
      <c r="B12" t="s">
        <v>43</v>
      </c>
      <c r="D12" s="5">
        <f>D6/5</f>
        <v>70</v>
      </c>
    </row>
    <row r="13" spans="1:14" x14ac:dyDescent="0.25">
      <c r="B13" t="s">
        <v>47</v>
      </c>
      <c r="D13" s="5">
        <v>140</v>
      </c>
    </row>
    <row r="14" spans="1:14" x14ac:dyDescent="0.25">
      <c r="B14" t="s">
        <v>34</v>
      </c>
      <c r="D14">
        <v>120</v>
      </c>
    </row>
    <row r="15" spans="1:14" x14ac:dyDescent="0.25">
      <c r="B15" t="s">
        <v>35</v>
      </c>
      <c r="D15">
        <v>75</v>
      </c>
    </row>
    <row r="16" spans="1:14" x14ac:dyDescent="0.25">
      <c r="B16" t="s">
        <v>36</v>
      </c>
      <c r="D16" s="6">
        <v>2.9000000000000001E-2</v>
      </c>
      <c r="H16" t="s">
        <v>37</v>
      </c>
    </row>
    <row r="17" spans="1:18" x14ac:dyDescent="0.25">
      <c r="B17" t="s">
        <v>38</v>
      </c>
      <c r="D17">
        <v>0</v>
      </c>
      <c r="F17" s="10"/>
    </row>
    <row r="18" spans="1:18" x14ac:dyDescent="0.25">
      <c r="B18" t="s">
        <v>39</v>
      </c>
      <c r="D18">
        <v>0</v>
      </c>
    </row>
    <row r="19" spans="1:18" s="9" customFormat="1" x14ac:dyDescent="0.25">
      <c r="B19" s="11" t="s">
        <v>76</v>
      </c>
      <c r="C19" s="13"/>
      <c r="D19" s="17">
        <v>2200000000</v>
      </c>
      <c r="E19" s="12"/>
    </row>
    <row r="20" spans="1:18" s="11" customFormat="1" x14ac:dyDescent="0.25">
      <c r="B20" s="13" t="s">
        <v>77</v>
      </c>
      <c r="C20" s="13"/>
      <c r="D20" s="45">
        <v>1.9999999999999999E-7</v>
      </c>
      <c r="E20" s="18"/>
      <c r="F20" s="8"/>
    </row>
    <row r="21" spans="1:18" x14ac:dyDescent="0.25">
      <c r="B21" t="s">
        <v>41</v>
      </c>
      <c r="D21" s="15">
        <f>D19*D20</f>
        <v>440</v>
      </c>
      <c r="E21" s="5">
        <f>D21*$D$3</f>
        <v>484.00000000000006</v>
      </c>
      <c r="F21" s="5">
        <f t="shared" ref="F21:G21" si="1">E21*$D$3</f>
        <v>532.40000000000009</v>
      </c>
      <c r="G21" s="5">
        <f t="shared" si="1"/>
        <v>585.6400000000001</v>
      </c>
      <c r="H21" s="5">
        <f t="shared" ref="H21" si="2">G21*$D$3</f>
        <v>644.20400000000018</v>
      </c>
      <c r="I21" s="5">
        <f t="shared" ref="I21" si="3">H21*$D$3</f>
        <v>708.62440000000026</v>
      </c>
      <c r="J21" s="5">
        <f t="shared" ref="J21" si="4">I21*$D$3</f>
        <v>779.48684000000037</v>
      </c>
      <c r="K21" s="5">
        <f t="shared" ref="K21" si="5">J21*$D$3</f>
        <v>857.43552400000044</v>
      </c>
      <c r="L21" s="5">
        <f t="shared" ref="L21" si="6">K21*$D$3</f>
        <v>943.17907640000055</v>
      </c>
      <c r="M21" s="5">
        <f t="shared" ref="M21" si="7">L21*$D$3</f>
        <v>1037.4969840400006</v>
      </c>
      <c r="N21" s="20"/>
    </row>
    <row r="22" spans="1:18" x14ac:dyDescent="0.25">
      <c r="B22" t="s">
        <v>40</v>
      </c>
      <c r="D22">
        <v>15</v>
      </c>
      <c r="N22" s="21"/>
    </row>
    <row r="23" spans="1:18" x14ac:dyDescent="0.25">
      <c r="B23" t="s">
        <v>52</v>
      </c>
      <c r="D23" s="6">
        <v>0.15</v>
      </c>
      <c r="N23" s="21"/>
    </row>
    <row r="24" spans="1:18" x14ac:dyDescent="0.25">
      <c r="B24" t="s">
        <v>53</v>
      </c>
      <c r="D24" s="6"/>
      <c r="N24" s="21"/>
    </row>
    <row r="25" spans="1:18" x14ac:dyDescent="0.25">
      <c r="B25" t="s">
        <v>68</v>
      </c>
      <c r="D25" s="7">
        <v>1000</v>
      </c>
      <c r="N25" s="21"/>
    </row>
    <row r="26" spans="1:18" x14ac:dyDescent="0.25">
      <c r="B26" t="s">
        <v>69</v>
      </c>
      <c r="D26" s="6">
        <v>0.1</v>
      </c>
      <c r="N26" s="21"/>
    </row>
    <row r="27" spans="1:18" x14ac:dyDescent="0.25">
      <c r="B27" t="s">
        <v>70</v>
      </c>
      <c r="D27" s="7">
        <v>12</v>
      </c>
      <c r="N27" s="21"/>
    </row>
    <row r="28" spans="1:18" x14ac:dyDescent="0.25">
      <c r="B28" t="s">
        <v>71</v>
      </c>
      <c r="D28" s="5">
        <v>9</v>
      </c>
      <c r="N28" s="21"/>
    </row>
    <row r="29" spans="1:18" x14ac:dyDescent="0.25">
      <c r="B29" t="s">
        <v>75</v>
      </c>
      <c r="D29" s="7">
        <v>18</v>
      </c>
      <c r="N29" s="21"/>
    </row>
    <row r="30" spans="1:18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 x14ac:dyDescent="0.25">
      <c r="B31" s="1" t="s">
        <v>0</v>
      </c>
      <c r="C31" s="14">
        <v>2012</v>
      </c>
      <c r="D31" s="1">
        <f>C31+1</f>
        <v>2013</v>
      </c>
      <c r="E31" s="14">
        <f t="shared" ref="E31:M31" si="8">D31+1</f>
        <v>2014</v>
      </c>
      <c r="F31" s="14">
        <f t="shared" si="8"/>
        <v>2015</v>
      </c>
      <c r="G31" s="14">
        <f t="shared" si="8"/>
        <v>2016</v>
      </c>
      <c r="H31" s="14">
        <f t="shared" si="8"/>
        <v>2017</v>
      </c>
      <c r="I31" s="14">
        <f t="shared" si="8"/>
        <v>2018</v>
      </c>
      <c r="J31" s="14">
        <f t="shared" si="8"/>
        <v>2019</v>
      </c>
      <c r="K31" s="14">
        <f t="shared" si="8"/>
        <v>2020</v>
      </c>
      <c r="L31" s="14">
        <f t="shared" si="8"/>
        <v>2021</v>
      </c>
      <c r="M31" s="14">
        <f t="shared" si="8"/>
        <v>2022</v>
      </c>
      <c r="N31" s="19"/>
    </row>
    <row r="32" spans="1:18" x14ac:dyDescent="0.25">
      <c r="B32" t="s">
        <v>1</v>
      </c>
      <c r="D32" s="2">
        <f>D21*D22</f>
        <v>6600</v>
      </c>
      <c r="E32" s="2">
        <f>E21*$D$22</f>
        <v>7260.0000000000009</v>
      </c>
      <c r="F32" s="2">
        <f t="shared" ref="F32:M32" si="9">F21*$D$22</f>
        <v>7986.0000000000018</v>
      </c>
      <c r="G32" s="2">
        <f>G21*$D$22</f>
        <v>8784.6000000000022</v>
      </c>
      <c r="H32" s="2">
        <f t="shared" si="9"/>
        <v>9663.0600000000031</v>
      </c>
      <c r="I32" s="2">
        <f t="shared" si="9"/>
        <v>10629.366000000004</v>
      </c>
      <c r="J32" s="2">
        <f t="shared" si="9"/>
        <v>11692.302600000006</v>
      </c>
      <c r="K32" s="2">
        <f t="shared" si="9"/>
        <v>12861.532860000007</v>
      </c>
      <c r="L32" s="2">
        <f t="shared" si="9"/>
        <v>14147.686146000009</v>
      </c>
      <c r="M32" s="2">
        <f t="shared" si="9"/>
        <v>15562.454760600009</v>
      </c>
      <c r="N32" s="22"/>
    </row>
    <row r="33" spans="2:14" x14ac:dyDescent="0.25">
      <c r="B33" t="s">
        <v>2</v>
      </c>
      <c r="D33" s="3">
        <f>$D$2*D21+D21*$D$5</f>
        <v>1526.8</v>
      </c>
      <c r="E33" s="3">
        <f t="shared" ref="E33:F33" si="10">$D$2*E21+E21*$D$5</f>
        <v>1679.4800000000002</v>
      </c>
      <c r="F33" s="3">
        <f t="shared" si="10"/>
        <v>1847.4280000000003</v>
      </c>
      <c r="G33" s="3">
        <f>$D$2*G21+G21*$D$5</f>
        <v>2032.1708000000003</v>
      </c>
      <c r="H33" s="3">
        <f t="shared" ref="H33:M33" si="11">$D$2*H21+H21*$D$5</f>
        <v>2235.3878800000007</v>
      </c>
      <c r="I33" s="3">
        <f t="shared" si="11"/>
        <v>2458.9266680000005</v>
      </c>
      <c r="J33" s="3">
        <f t="shared" si="11"/>
        <v>2704.8193348000013</v>
      </c>
      <c r="K33" s="3">
        <f t="shared" si="11"/>
        <v>2975.3012682800013</v>
      </c>
      <c r="L33" s="3">
        <f t="shared" si="11"/>
        <v>3272.8313951080022</v>
      </c>
      <c r="M33" s="3">
        <f t="shared" si="11"/>
        <v>3600.1145346188023</v>
      </c>
      <c r="N33" s="22"/>
    </row>
    <row r="34" spans="2:14" x14ac:dyDescent="0.25">
      <c r="B34" t="s">
        <v>3</v>
      </c>
      <c r="D34" s="2">
        <f>D32-D33</f>
        <v>5073.2</v>
      </c>
      <c r="E34" s="2">
        <f t="shared" ref="E34:M34" si="12">E32-E33</f>
        <v>5580.52</v>
      </c>
      <c r="F34" s="2">
        <f t="shared" si="12"/>
        <v>6138.5720000000019</v>
      </c>
      <c r="G34" s="2">
        <f t="shared" si="12"/>
        <v>6752.4292000000023</v>
      </c>
      <c r="H34" s="2">
        <f t="shared" si="12"/>
        <v>7427.6721200000029</v>
      </c>
      <c r="I34" s="2">
        <f t="shared" si="12"/>
        <v>8170.4393320000036</v>
      </c>
      <c r="J34" s="2">
        <f t="shared" si="12"/>
        <v>8987.4832652000041</v>
      </c>
      <c r="K34" s="2">
        <f t="shared" si="12"/>
        <v>9886.2315917200049</v>
      </c>
      <c r="L34" s="2">
        <f t="shared" si="12"/>
        <v>10874.854750892007</v>
      </c>
      <c r="M34" s="2">
        <f t="shared" si="12"/>
        <v>11962.340225981206</v>
      </c>
      <c r="N34" s="22"/>
    </row>
    <row r="35" spans="2:14" x14ac:dyDescent="0.25">
      <c r="D35" s="2"/>
      <c r="E35" s="2"/>
      <c r="F35" s="2"/>
      <c r="G35" s="2"/>
      <c r="N35" s="21"/>
    </row>
    <row r="36" spans="2:14" x14ac:dyDescent="0.25">
      <c r="B36" t="s">
        <v>4</v>
      </c>
      <c r="D36" s="2">
        <f>D8</f>
        <v>120</v>
      </c>
      <c r="E36" s="2">
        <f t="shared" ref="E36:M36" si="13">E8</f>
        <v>132</v>
      </c>
      <c r="F36" s="2">
        <f t="shared" si="13"/>
        <v>145.20000000000002</v>
      </c>
      <c r="G36" s="2">
        <f t="shared" si="13"/>
        <v>159.72000000000003</v>
      </c>
      <c r="H36" s="2">
        <f t="shared" si="13"/>
        <v>175.69200000000004</v>
      </c>
      <c r="I36" s="2">
        <f t="shared" si="13"/>
        <v>193.26120000000006</v>
      </c>
      <c r="J36" s="2">
        <f t="shared" si="13"/>
        <v>212.58732000000009</v>
      </c>
      <c r="K36" s="2">
        <f t="shared" si="13"/>
        <v>233.84605200000013</v>
      </c>
      <c r="L36" s="2">
        <f t="shared" si="13"/>
        <v>257.23065720000017</v>
      </c>
      <c r="M36" s="2">
        <f t="shared" si="13"/>
        <v>282.95372292000019</v>
      </c>
      <c r="N36" s="22"/>
    </row>
    <row r="37" spans="2:14" x14ac:dyDescent="0.25">
      <c r="B37" t="s">
        <v>74</v>
      </c>
      <c r="D37" s="2">
        <f>$D$29*52</f>
        <v>936</v>
      </c>
      <c r="E37" s="2">
        <f>$D$29*52</f>
        <v>936</v>
      </c>
      <c r="F37" s="2">
        <f>$D$29*52</f>
        <v>936</v>
      </c>
      <c r="G37" s="2">
        <f>$D$29*52</f>
        <v>936</v>
      </c>
      <c r="H37" s="2">
        <f t="shared" ref="H37:M37" si="14">$D$29*52</f>
        <v>936</v>
      </c>
      <c r="I37" s="2">
        <f t="shared" si="14"/>
        <v>936</v>
      </c>
      <c r="J37" s="2">
        <f t="shared" si="14"/>
        <v>936</v>
      </c>
      <c r="K37" s="2">
        <f t="shared" si="14"/>
        <v>936</v>
      </c>
      <c r="L37" s="2">
        <f t="shared" si="14"/>
        <v>936</v>
      </c>
      <c r="M37" s="2">
        <f t="shared" si="14"/>
        <v>936</v>
      </c>
      <c r="N37" s="22"/>
    </row>
    <row r="38" spans="2:14" x14ac:dyDescent="0.25">
      <c r="B38" t="s">
        <v>32</v>
      </c>
      <c r="D38" s="2">
        <f>$D$10</f>
        <v>60</v>
      </c>
      <c r="E38" s="2">
        <f t="shared" ref="E38:M38" si="15">$D$10</f>
        <v>60</v>
      </c>
      <c r="F38" s="2">
        <f t="shared" si="15"/>
        <v>60</v>
      </c>
      <c r="G38" s="2">
        <f t="shared" si="15"/>
        <v>60</v>
      </c>
      <c r="H38" s="2">
        <f t="shared" si="15"/>
        <v>60</v>
      </c>
      <c r="I38" s="2">
        <f t="shared" si="15"/>
        <v>60</v>
      </c>
      <c r="J38" s="2">
        <f t="shared" si="15"/>
        <v>60</v>
      </c>
      <c r="K38" s="2">
        <f t="shared" si="15"/>
        <v>60</v>
      </c>
      <c r="L38" s="2">
        <f t="shared" si="15"/>
        <v>60</v>
      </c>
      <c r="M38" s="2">
        <f t="shared" si="15"/>
        <v>60</v>
      </c>
      <c r="N38" s="22"/>
    </row>
    <row r="39" spans="2:14" x14ac:dyDescent="0.25">
      <c r="B39" t="s">
        <v>51</v>
      </c>
      <c r="D39" s="2">
        <f>D11</f>
        <v>194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2"/>
    </row>
    <row r="40" spans="2:14" x14ac:dyDescent="0.25">
      <c r="B40" t="s">
        <v>50</v>
      </c>
      <c r="D40" s="2">
        <f>$D$13</f>
        <v>140</v>
      </c>
      <c r="E40" s="2">
        <f t="shared" ref="E40:M40" si="16">$D$13</f>
        <v>140</v>
      </c>
      <c r="F40" s="2">
        <f t="shared" si="16"/>
        <v>140</v>
      </c>
      <c r="G40" s="2">
        <f t="shared" si="16"/>
        <v>140</v>
      </c>
      <c r="H40" s="2">
        <f t="shared" si="16"/>
        <v>140</v>
      </c>
      <c r="I40" s="2">
        <f t="shared" si="16"/>
        <v>140</v>
      </c>
      <c r="J40" s="2">
        <f t="shared" si="16"/>
        <v>140</v>
      </c>
      <c r="K40" s="2">
        <f t="shared" si="16"/>
        <v>140</v>
      </c>
      <c r="L40" s="2">
        <f t="shared" si="16"/>
        <v>140</v>
      </c>
      <c r="M40" s="2">
        <f t="shared" si="16"/>
        <v>140</v>
      </c>
      <c r="N40" s="22"/>
    </row>
    <row r="41" spans="2:14" x14ac:dyDescent="0.25">
      <c r="B41" t="s">
        <v>72</v>
      </c>
      <c r="D41" s="2">
        <f>D68*D26</f>
        <v>311.2</v>
      </c>
      <c r="E41" s="2">
        <v>28.86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2"/>
    </row>
    <row r="42" spans="2:14" x14ac:dyDescent="0.25">
      <c r="B42" t="s">
        <v>55</v>
      </c>
      <c r="D42" s="2">
        <f>$D$27*$D$28*52</f>
        <v>5616</v>
      </c>
      <c r="E42" s="2">
        <f t="shared" ref="E42:M42" si="17">$D$27*$D$28*52</f>
        <v>5616</v>
      </c>
      <c r="F42" s="2">
        <f t="shared" si="17"/>
        <v>5616</v>
      </c>
      <c r="G42" s="2">
        <f t="shared" si="17"/>
        <v>5616</v>
      </c>
      <c r="H42" s="2">
        <f t="shared" si="17"/>
        <v>5616</v>
      </c>
      <c r="I42" s="2">
        <f t="shared" si="17"/>
        <v>5616</v>
      </c>
      <c r="J42" s="2">
        <f t="shared" si="17"/>
        <v>5616</v>
      </c>
      <c r="K42" s="2">
        <f t="shared" si="17"/>
        <v>5616</v>
      </c>
      <c r="L42" s="2">
        <f t="shared" si="17"/>
        <v>5616</v>
      </c>
      <c r="M42" s="2">
        <f t="shared" si="17"/>
        <v>5616</v>
      </c>
      <c r="N42" s="22"/>
    </row>
    <row r="43" spans="2:14" x14ac:dyDescent="0.25">
      <c r="B43" t="s">
        <v>5</v>
      </c>
      <c r="D43" s="2">
        <f>$D$12</f>
        <v>70</v>
      </c>
      <c r="E43" s="2">
        <f t="shared" ref="E43:M43" si="18">$D$12</f>
        <v>70</v>
      </c>
      <c r="F43" s="2">
        <f t="shared" si="18"/>
        <v>70</v>
      </c>
      <c r="G43" s="2">
        <f t="shared" si="18"/>
        <v>70</v>
      </c>
      <c r="H43" s="2">
        <f t="shared" si="18"/>
        <v>70</v>
      </c>
      <c r="I43" s="2">
        <f t="shared" si="18"/>
        <v>70</v>
      </c>
      <c r="J43" s="2">
        <f t="shared" si="18"/>
        <v>70</v>
      </c>
      <c r="K43" s="2">
        <f t="shared" si="18"/>
        <v>70</v>
      </c>
      <c r="L43" s="2">
        <f t="shared" si="18"/>
        <v>70</v>
      </c>
      <c r="M43" s="2">
        <f t="shared" si="18"/>
        <v>70</v>
      </c>
      <c r="N43" s="22"/>
    </row>
    <row r="44" spans="2:14" x14ac:dyDescent="0.25">
      <c r="B44" t="s">
        <v>49</v>
      </c>
      <c r="D44" s="3">
        <f>$D$14</f>
        <v>120</v>
      </c>
      <c r="E44" s="3">
        <f t="shared" ref="E44:M44" si="19">$D$14</f>
        <v>120</v>
      </c>
      <c r="F44" s="3">
        <f t="shared" si="19"/>
        <v>120</v>
      </c>
      <c r="G44" s="3">
        <f t="shared" si="19"/>
        <v>120</v>
      </c>
      <c r="H44" s="3">
        <f t="shared" si="19"/>
        <v>120</v>
      </c>
      <c r="I44" s="3">
        <f t="shared" si="19"/>
        <v>120</v>
      </c>
      <c r="J44" s="3">
        <f t="shared" si="19"/>
        <v>120</v>
      </c>
      <c r="K44" s="3">
        <f t="shared" si="19"/>
        <v>120</v>
      </c>
      <c r="L44" s="3">
        <f t="shared" si="19"/>
        <v>120</v>
      </c>
      <c r="M44" s="3">
        <f t="shared" si="19"/>
        <v>120</v>
      </c>
      <c r="N44" s="22"/>
    </row>
    <row r="45" spans="2:14" x14ac:dyDescent="0.25">
      <c r="B45" t="s">
        <v>6</v>
      </c>
      <c r="D45" s="2">
        <f>D34-SUM(D36:D44)</f>
        <v>-2494</v>
      </c>
      <c r="E45" s="2">
        <f t="shared" ref="E45:M45" si="20">E34-SUM(E36:E44)</f>
        <v>-1522.3399999999992</v>
      </c>
      <c r="F45" s="2">
        <f t="shared" si="20"/>
        <v>-948.62799999999788</v>
      </c>
      <c r="G45" s="2">
        <f t="shared" si="20"/>
        <v>-349.29079999999794</v>
      </c>
      <c r="H45" s="2">
        <f t="shared" si="20"/>
        <v>309.9801200000029</v>
      </c>
      <c r="I45" s="2">
        <f t="shared" si="20"/>
        <v>1035.1781320000036</v>
      </c>
      <c r="J45" s="2">
        <f t="shared" si="20"/>
        <v>1832.8959452000036</v>
      </c>
      <c r="K45" s="2">
        <f t="shared" si="20"/>
        <v>2710.385539720005</v>
      </c>
      <c r="L45" s="2">
        <f t="shared" si="20"/>
        <v>3675.6240936920076</v>
      </c>
      <c r="M45" s="2">
        <f t="shared" si="20"/>
        <v>4737.386503061206</v>
      </c>
      <c r="N45" s="22"/>
    </row>
    <row r="46" spans="2:14" x14ac:dyDescent="0.25">
      <c r="D46" s="2"/>
      <c r="E46" s="2"/>
      <c r="F46" s="2"/>
      <c r="G46" s="2"/>
      <c r="N46" s="21"/>
    </row>
    <row r="47" spans="2:14" x14ac:dyDescent="0.25">
      <c r="B47" t="s">
        <v>7</v>
      </c>
      <c r="D47" s="3">
        <f>IF(D45&gt;0,D45*$D$23,0)</f>
        <v>0</v>
      </c>
      <c r="E47" s="3">
        <f t="shared" ref="E47:M47" si="21">E45*$D$23</f>
        <v>-228.35099999999989</v>
      </c>
      <c r="F47" s="3">
        <f t="shared" si="21"/>
        <v>-142.29419999999968</v>
      </c>
      <c r="G47" s="3">
        <f t="shared" si="21"/>
        <v>-52.393619999999693</v>
      </c>
      <c r="H47" s="3">
        <f>H45*$D$23</f>
        <v>46.497018000000431</v>
      </c>
      <c r="I47" s="3">
        <f t="shared" si="21"/>
        <v>155.27671980000054</v>
      </c>
      <c r="J47" s="3">
        <f t="shared" si="21"/>
        <v>274.93439178000051</v>
      </c>
      <c r="K47" s="3">
        <f t="shared" si="21"/>
        <v>406.55783095800075</v>
      </c>
      <c r="L47" s="3">
        <f t="shared" si="21"/>
        <v>551.34361405380116</v>
      </c>
      <c r="M47" s="3">
        <f t="shared" si="21"/>
        <v>710.60797545918092</v>
      </c>
      <c r="N47" s="22"/>
    </row>
    <row r="48" spans="2:14" x14ac:dyDescent="0.25">
      <c r="B48" t="s">
        <v>8</v>
      </c>
      <c r="D48" s="2">
        <f>D45-D47</f>
        <v>-2494</v>
      </c>
      <c r="E48" s="2">
        <f t="shared" ref="E48:M48" si="22">E45-E47</f>
        <v>-1293.9889999999994</v>
      </c>
      <c r="F48" s="2">
        <f t="shared" si="22"/>
        <v>-806.33379999999818</v>
      </c>
      <c r="G48" s="2">
        <f t="shared" si="22"/>
        <v>-296.89717999999823</v>
      </c>
      <c r="H48" s="2">
        <f t="shared" si="22"/>
        <v>263.48310200000248</v>
      </c>
      <c r="I48" s="2">
        <f t="shared" si="22"/>
        <v>879.90141220000305</v>
      </c>
      <c r="J48" s="2">
        <f t="shared" si="22"/>
        <v>1557.9615534200029</v>
      </c>
      <c r="K48" s="2">
        <f t="shared" si="22"/>
        <v>2303.8277087620045</v>
      </c>
      <c r="L48" s="2">
        <f t="shared" si="22"/>
        <v>3124.2804796382065</v>
      </c>
      <c r="M48" s="2">
        <f t="shared" si="22"/>
        <v>4026.778527602025</v>
      </c>
      <c r="N48" s="22"/>
    </row>
    <row r="49" spans="2:14" x14ac:dyDescent="0.25">
      <c r="N49" s="21"/>
    </row>
    <row r="50" spans="2:14" x14ac:dyDescent="0.25">
      <c r="B50" s="1" t="s">
        <v>9</v>
      </c>
      <c r="C50" s="14">
        <v>2012</v>
      </c>
      <c r="D50" s="14">
        <f>C50+1</f>
        <v>2013</v>
      </c>
      <c r="E50" s="14">
        <f t="shared" ref="E50:M50" si="23">D50+1</f>
        <v>2014</v>
      </c>
      <c r="F50" s="14">
        <f t="shared" si="23"/>
        <v>2015</v>
      </c>
      <c r="G50" s="14">
        <f t="shared" si="23"/>
        <v>2016</v>
      </c>
      <c r="H50" s="14">
        <f t="shared" si="23"/>
        <v>2017</v>
      </c>
      <c r="I50" s="14">
        <f t="shared" si="23"/>
        <v>2018</v>
      </c>
      <c r="J50" s="14">
        <f t="shared" si="23"/>
        <v>2019</v>
      </c>
      <c r="K50" s="14">
        <f t="shared" si="23"/>
        <v>2020</v>
      </c>
      <c r="L50" s="14">
        <f t="shared" si="23"/>
        <v>2021</v>
      </c>
      <c r="M50" s="14">
        <f t="shared" si="23"/>
        <v>2022</v>
      </c>
      <c r="N50" s="19"/>
    </row>
    <row r="51" spans="2:14" x14ac:dyDescent="0.25">
      <c r="B51" t="s">
        <v>10</v>
      </c>
      <c r="D51" s="2"/>
      <c r="E51" s="2"/>
      <c r="F51" s="2"/>
      <c r="G51" s="2"/>
      <c r="N51" s="21"/>
    </row>
    <row r="52" spans="2:14" s="13" customFormat="1" x14ac:dyDescent="0.25">
      <c r="B52" s="13" t="s">
        <v>136</v>
      </c>
      <c r="D52" s="15"/>
      <c r="E52" s="15"/>
      <c r="F52" s="15">
        <f>1270-500</f>
        <v>770</v>
      </c>
      <c r="G52" s="15">
        <f>3330-500</f>
        <v>2830</v>
      </c>
      <c r="H52" s="13">
        <f>6246-500</f>
        <v>5746</v>
      </c>
      <c r="I52" s="13">
        <v>9252</v>
      </c>
      <c r="J52" s="13">
        <v>14143</v>
      </c>
      <c r="K52" s="13">
        <v>20171</v>
      </c>
      <c r="L52" s="13">
        <v>27452</v>
      </c>
      <c r="M52" s="13">
        <v>36110</v>
      </c>
      <c r="N52" s="21"/>
    </row>
    <row r="53" spans="2:14" x14ac:dyDescent="0.25">
      <c r="B53" t="s">
        <v>135</v>
      </c>
      <c r="D53" s="2">
        <v>500</v>
      </c>
      <c r="E53" s="2">
        <v>500</v>
      </c>
      <c r="F53" s="15">
        <v>500</v>
      </c>
      <c r="G53" s="15">
        <v>500</v>
      </c>
      <c r="H53" s="15">
        <v>500</v>
      </c>
      <c r="I53" s="15">
        <v>500</v>
      </c>
      <c r="J53" s="15">
        <v>500</v>
      </c>
      <c r="K53" s="15">
        <v>500</v>
      </c>
      <c r="L53" s="15">
        <v>500</v>
      </c>
      <c r="M53" s="15">
        <v>500</v>
      </c>
      <c r="N53" s="22"/>
    </row>
    <row r="54" spans="2:14" x14ac:dyDescent="0.25">
      <c r="B54" t="s">
        <v>11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2"/>
    </row>
    <row r="55" spans="2:14" x14ac:dyDescent="0.25">
      <c r="B55" t="s">
        <v>12</v>
      </c>
      <c r="D55" s="3">
        <f t="shared" ref="D55:M55" si="24">$D$15*$D$2</f>
        <v>258</v>
      </c>
      <c r="E55" s="3">
        <f t="shared" si="24"/>
        <v>258</v>
      </c>
      <c r="F55" s="3">
        <f t="shared" si="24"/>
        <v>258</v>
      </c>
      <c r="G55" s="3">
        <f t="shared" si="24"/>
        <v>258</v>
      </c>
      <c r="H55" s="3">
        <f t="shared" si="24"/>
        <v>258</v>
      </c>
      <c r="I55" s="3">
        <f t="shared" si="24"/>
        <v>258</v>
      </c>
      <c r="J55" s="3">
        <f t="shared" si="24"/>
        <v>258</v>
      </c>
      <c r="K55" s="3">
        <f t="shared" si="24"/>
        <v>258</v>
      </c>
      <c r="L55" s="3">
        <f t="shared" si="24"/>
        <v>258</v>
      </c>
      <c r="M55" s="3">
        <f t="shared" si="24"/>
        <v>258</v>
      </c>
      <c r="N55" s="22"/>
    </row>
    <row r="56" spans="2:14" x14ac:dyDescent="0.25">
      <c r="B56" t="s">
        <v>13</v>
      </c>
      <c r="D56" s="2">
        <f>SUM(D52:D55)</f>
        <v>758</v>
      </c>
      <c r="E56" s="15">
        <f t="shared" ref="E56:M56" si="25">SUM(E52:E55)</f>
        <v>758</v>
      </c>
      <c r="F56" s="15">
        <f t="shared" si="25"/>
        <v>1528</v>
      </c>
      <c r="G56" s="15">
        <f t="shared" si="25"/>
        <v>3588</v>
      </c>
      <c r="H56" s="15">
        <f t="shared" si="25"/>
        <v>6504</v>
      </c>
      <c r="I56" s="15">
        <f t="shared" si="25"/>
        <v>10010</v>
      </c>
      <c r="J56" s="15">
        <f t="shared" si="25"/>
        <v>14901</v>
      </c>
      <c r="K56" s="15">
        <f t="shared" si="25"/>
        <v>20929</v>
      </c>
      <c r="L56" s="15">
        <f t="shared" si="25"/>
        <v>28210</v>
      </c>
      <c r="M56" s="15">
        <f t="shared" si="25"/>
        <v>36868</v>
      </c>
      <c r="N56" s="22"/>
    </row>
    <row r="57" spans="2:14" x14ac:dyDescent="0.25">
      <c r="D57" s="2"/>
      <c r="E57" s="2"/>
      <c r="F57" s="2"/>
      <c r="G57" s="2"/>
      <c r="N57" s="21"/>
    </row>
    <row r="58" spans="2:14" x14ac:dyDescent="0.25">
      <c r="B58" t="s">
        <v>54</v>
      </c>
      <c r="D58" s="2">
        <f>$D$7*4</f>
        <v>80</v>
      </c>
      <c r="E58" s="2">
        <f t="shared" ref="E58:M58" si="26">$D$7*4</f>
        <v>80</v>
      </c>
      <c r="F58" s="2">
        <f t="shared" si="26"/>
        <v>80</v>
      </c>
      <c r="G58" s="2">
        <f t="shared" si="26"/>
        <v>80</v>
      </c>
      <c r="H58" s="2">
        <f t="shared" si="26"/>
        <v>80</v>
      </c>
      <c r="I58" s="2">
        <f t="shared" si="26"/>
        <v>80</v>
      </c>
      <c r="J58" s="2">
        <f t="shared" si="26"/>
        <v>80</v>
      </c>
      <c r="K58" s="2">
        <f t="shared" si="26"/>
        <v>80</v>
      </c>
      <c r="L58" s="2">
        <f t="shared" si="26"/>
        <v>80</v>
      </c>
      <c r="M58" s="2">
        <f t="shared" si="26"/>
        <v>80</v>
      </c>
      <c r="N58" s="22"/>
    </row>
    <row r="59" spans="2:14" x14ac:dyDescent="0.25">
      <c r="B59" t="s">
        <v>14</v>
      </c>
      <c r="D59" s="2">
        <f>$D$6</f>
        <v>350</v>
      </c>
      <c r="E59" s="2">
        <f t="shared" ref="E59:H59" si="27">$D$6</f>
        <v>350</v>
      </c>
      <c r="F59" s="2">
        <f t="shared" si="27"/>
        <v>350</v>
      </c>
      <c r="G59" s="2">
        <f t="shared" si="27"/>
        <v>350</v>
      </c>
      <c r="H59" s="2">
        <f t="shared" si="27"/>
        <v>350</v>
      </c>
      <c r="I59" s="2">
        <v>700</v>
      </c>
      <c r="J59" s="2">
        <v>700</v>
      </c>
      <c r="K59" s="2">
        <v>700</v>
      </c>
      <c r="L59" s="2">
        <v>700</v>
      </c>
      <c r="M59" s="2">
        <v>700</v>
      </c>
      <c r="N59" s="22"/>
    </row>
    <row r="60" spans="2:14" x14ac:dyDescent="0.25">
      <c r="B60" t="s">
        <v>15</v>
      </c>
      <c r="D60" s="3">
        <f>$D$12</f>
        <v>70</v>
      </c>
      <c r="E60" s="3">
        <f>D60+$D$12</f>
        <v>140</v>
      </c>
      <c r="F60" s="3">
        <f t="shared" ref="F60:G60" si="28">E60+$D$12</f>
        <v>210</v>
      </c>
      <c r="G60" s="3">
        <f t="shared" si="28"/>
        <v>280</v>
      </c>
      <c r="H60" s="3">
        <f t="shared" ref="H60" si="29">G60+$D$12</f>
        <v>350</v>
      </c>
      <c r="I60" s="3">
        <f t="shared" ref="I60" si="30">H60+$D$12</f>
        <v>420</v>
      </c>
      <c r="J60" s="3">
        <f t="shared" ref="J60" si="31">I60+$D$12</f>
        <v>490</v>
      </c>
      <c r="K60" s="3">
        <f t="shared" ref="K60" si="32">J60+$D$12</f>
        <v>560</v>
      </c>
      <c r="L60" s="3">
        <f t="shared" ref="L60" si="33">K60+$D$12</f>
        <v>630</v>
      </c>
      <c r="M60" s="3">
        <f t="shared" ref="M60" si="34">L60+$D$12</f>
        <v>700</v>
      </c>
      <c r="N60" s="22"/>
    </row>
    <row r="61" spans="2:14" x14ac:dyDescent="0.25">
      <c r="B61" t="s">
        <v>16</v>
      </c>
      <c r="D61" s="2">
        <f>D58+D59-D60</f>
        <v>360</v>
      </c>
      <c r="E61" s="2">
        <f t="shared" ref="E61:M61" si="35">E58+E59-E60</f>
        <v>290</v>
      </c>
      <c r="F61" s="2">
        <f t="shared" si="35"/>
        <v>220</v>
      </c>
      <c r="G61" s="2">
        <f t="shared" si="35"/>
        <v>150</v>
      </c>
      <c r="H61" s="2">
        <f t="shared" si="35"/>
        <v>80</v>
      </c>
      <c r="I61" s="2">
        <f t="shared" si="35"/>
        <v>360</v>
      </c>
      <c r="J61" s="2">
        <f t="shared" si="35"/>
        <v>290</v>
      </c>
      <c r="K61" s="2">
        <f t="shared" si="35"/>
        <v>220</v>
      </c>
      <c r="L61" s="2">
        <f t="shared" si="35"/>
        <v>150</v>
      </c>
      <c r="M61" s="2">
        <f t="shared" si="35"/>
        <v>80</v>
      </c>
      <c r="N61" s="22"/>
    </row>
    <row r="62" spans="2:14" x14ac:dyDescent="0.25">
      <c r="D62" s="2"/>
      <c r="E62" s="2"/>
      <c r="F62" s="2"/>
      <c r="G62" s="2"/>
      <c r="N62" s="21"/>
    </row>
    <row r="63" spans="2:14" x14ac:dyDescent="0.25">
      <c r="B63" t="s">
        <v>17</v>
      </c>
      <c r="D63" s="2">
        <f>D56+D61</f>
        <v>1118</v>
      </c>
      <c r="E63" s="2">
        <f>E56+E61</f>
        <v>1048</v>
      </c>
      <c r="F63" s="2">
        <f>F56+F61</f>
        <v>1748</v>
      </c>
      <c r="G63" s="2">
        <f>G56+G61</f>
        <v>3738</v>
      </c>
      <c r="H63" s="2">
        <f t="shared" ref="H63:M63" si="36">H56+H61</f>
        <v>6584</v>
      </c>
      <c r="I63" s="2">
        <f t="shared" si="36"/>
        <v>10370</v>
      </c>
      <c r="J63" s="2">
        <f t="shared" si="36"/>
        <v>15191</v>
      </c>
      <c r="K63" s="2">
        <f t="shared" si="36"/>
        <v>21149</v>
      </c>
      <c r="L63" s="2">
        <f t="shared" si="36"/>
        <v>28360</v>
      </c>
      <c r="M63" s="2">
        <f t="shared" si="36"/>
        <v>36948</v>
      </c>
      <c r="N63" s="22"/>
    </row>
    <row r="64" spans="2:14" x14ac:dyDescent="0.25">
      <c r="D64" s="2"/>
      <c r="E64" s="2"/>
      <c r="F64" s="2"/>
      <c r="G64" s="2"/>
      <c r="N64" s="21"/>
    </row>
    <row r="65" spans="2:15" x14ac:dyDescent="0.25">
      <c r="B65" t="s">
        <v>18</v>
      </c>
      <c r="D65" s="2"/>
      <c r="E65" s="2"/>
      <c r="F65" s="2"/>
      <c r="G65" s="2"/>
      <c r="N65" s="21"/>
    </row>
    <row r="66" spans="2:15" x14ac:dyDescent="0.25">
      <c r="B66" t="s">
        <v>19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2"/>
    </row>
    <row r="67" spans="2:15" x14ac:dyDescent="0.25">
      <c r="B67" t="s">
        <v>20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2"/>
    </row>
    <row r="68" spans="2:15" x14ac:dyDescent="0.25">
      <c r="B68" t="s">
        <v>73</v>
      </c>
      <c r="D68" s="2">
        <v>3111.9999999999995</v>
      </c>
      <c r="E68" s="2">
        <v>4335.9889999999996</v>
      </c>
      <c r="F68" s="2">
        <v>5842.3227999999981</v>
      </c>
      <c r="G68" s="2">
        <v>8129.2199799999962</v>
      </c>
      <c r="H68" s="2">
        <v>10711.736877999992</v>
      </c>
      <c r="I68" s="2">
        <v>13617.83546579999</v>
      </c>
      <c r="J68" s="2">
        <v>16880.87391237999</v>
      </c>
      <c r="K68" s="2">
        <v>20535.046203617982</v>
      </c>
      <c r="L68" s="2">
        <v>24621.765723979777</v>
      </c>
      <c r="M68" s="2">
        <v>29182.98719637774</v>
      </c>
      <c r="N68" s="22"/>
    </row>
    <row r="69" spans="2:15" x14ac:dyDescent="0.25">
      <c r="D69" s="2"/>
      <c r="E69" s="2"/>
      <c r="F69" s="2"/>
      <c r="G69" s="2"/>
      <c r="N69" s="21"/>
    </row>
    <row r="70" spans="2:15" x14ac:dyDescent="0.25">
      <c r="B70" t="s">
        <v>67</v>
      </c>
      <c r="D70" s="2">
        <v>500</v>
      </c>
      <c r="E70" s="2">
        <v>500</v>
      </c>
      <c r="F70" s="2">
        <v>500</v>
      </c>
      <c r="G70" s="2">
        <v>500</v>
      </c>
      <c r="H70" s="2">
        <v>500</v>
      </c>
      <c r="I70" s="2">
        <v>500</v>
      </c>
      <c r="J70" s="2">
        <v>500</v>
      </c>
      <c r="K70" s="2">
        <v>500</v>
      </c>
      <c r="L70" s="2">
        <v>500</v>
      </c>
      <c r="M70" s="2">
        <v>500</v>
      </c>
      <c r="N70" s="22"/>
    </row>
    <row r="71" spans="2:15" x14ac:dyDescent="0.25">
      <c r="B71" t="s">
        <v>21</v>
      </c>
      <c r="D71" s="2">
        <f>D48</f>
        <v>-2494</v>
      </c>
      <c r="E71" s="2">
        <f>E48+D71</f>
        <v>-3787.9889999999996</v>
      </c>
      <c r="F71" s="2">
        <f t="shared" ref="F71:G71" si="37">F48+E71</f>
        <v>-4594.3227999999981</v>
      </c>
      <c r="G71" s="2">
        <f t="shared" si="37"/>
        <v>-4891.2199799999962</v>
      </c>
      <c r="H71" s="2">
        <f t="shared" ref="H71" si="38">H48+G71</f>
        <v>-4627.7368779999933</v>
      </c>
      <c r="I71" s="2">
        <f t="shared" ref="I71" si="39">I48+H71</f>
        <v>-3747.8354657999903</v>
      </c>
      <c r="J71" s="2">
        <f t="shared" ref="J71" si="40">J48+I71</f>
        <v>-2189.8739123799874</v>
      </c>
      <c r="K71" s="2">
        <f t="shared" ref="K71" si="41">K48+J71</f>
        <v>113.95379638201712</v>
      </c>
      <c r="L71" s="2">
        <f t="shared" ref="L71" si="42">L48+K71</f>
        <v>3238.2342760202237</v>
      </c>
      <c r="M71" s="2">
        <f t="shared" ref="M71" si="43">M48+L71</f>
        <v>7265.0128036222486</v>
      </c>
      <c r="N71" s="22"/>
      <c r="O71" s="47">
        <f>M72/(M72+M68)</f>
        <v>0.2101605717121969</v>
      </c>
    </row>
    <row r="72" spans="2:15" x14ac:dyDescent="0.25">
      <c r="B72" t="s">
        <v>22</v>
      </c>
      <c r="D72" s="2">
        <f>SUM(D70:D71)</f>
        <v>-1994</v>
      </c>
      <c r="E72" s="2">
        <f t="shared" ref="E72:M72" si="44">SUM(E70:E71)</f>
        <v>-3287.9889999999996</v>
      </c>
      <c r="F72" s="2">
        <f>SUM(F70:F71)</f>
        <v>-4094.3227999999981</v>
      </c>
      <c r="G72" s="2">
        <f t="shared" si="44"/>
        <v>-4391.2199799999962</v>
      </c>
      <c r="H72" s="2">
        <f t="shared" si="44"/>
        <v>-4127.7368779999933</v>
      </c>
      <c r="I72" s="2">
        <f t="shared" si="44"/>
        <v>-3247.8354657999903</v>
      </c>
      <c r="J72" s="2">
        <f t="shared" si="44"/>
        <v>-1689.8739123799874</v>
      </c>
      <c r="K72" s="2">
        <f t="shared" si="44"/>
        <v>613.95379638201712</v>
      </c>
      <c r="L72" s="2">
        <f t="shared" si="44"/>
        <v>3738.2342760202237</v>
      </c>
      <c r="M72" s="2">
        <f t="shared" si="44"/>
        <v>7765.0128036222486</v>
      </c>
      <c r="N72" s="22"/>
      <c r="O72" s="47">
        <f>M68/(M68+M72)</f>
        <v>0.78983942828780318</v>
      </c>
    </row>
    <row r="73" spans="2:15" x14ac:dyDescent="0.25">
      <c r="D73" s="2"/>
      <c r="E73" s="2"/>
      <c r="F73" s="2"/>
      <c r="G73" s="2"/>
      <c r="N73" s="21"/>
    </row>
    <row r="74" spans="2:15" x14ac:dyDescent="0.25">
      <c r="B74" t="s">
        <v>23</v>
      </c>
      <c r="D74" s="2">
        <f>D66+D67+D68+D72</f>
        <v>1117.9999999999995</v>
      </c>
      <c r="E74" s="2">
        <f>E66+E67+E68+E72</f>
        <v>1048</v>
      </c>
      <c r="F74" s="2">
        <f>F66+F67+F68+F72</f>
        <v>1748</v>
      </c>
      <c r="G74" s="2">
        <f>G66+G67+G68+G72</f>
        <v>3738</v>
      </c>
      <c r="H74" s="2">
        <f t="shared" ref="H74:M74" si="45">H66+H67+H68+H72</f>
        <v>6583.9999999999991</v>
      </c>
      <c r="I74" s="2">
        <f t="shared" si="45"/>
        <v>10370</v>
      </c>
      <c r="J74" s="2">
        <f t="shared" si="45"/>
        <v>15191.000000000002</v>
      </c>
      <c r="K74" s="2">
        <f t="shared" si="45"/>
        <v>21149</v>
      </c>
      <c r="L74" s="2">
        <f t="shared" si="45"/>
        <v>28360</v>
      </c>
      <c r="M74" s="2">
        <f t="shared" si="45"/>
        <v>36947.999999999985</v>
      </c>
      <c r="N74" s="22"/>
    </row>
    <row r="75" spans="2:15" x14ac:dyDescent="0.25">
      <c r="N75" s="21"/>
    </row>
    <row r="76" spans="2:15" x14ac:dyDescent="0.25">
      <c r="B76" t="s">
        <v>56</v>
      </c>
      <c r="D76" s="2">
        <f>D63-D74</f>
        <v>0</v>
      </c>
      <c r="E76" s="2">
        <f>E63-E74</f>
        <v>0</v>
      </c>
      <c r="F76" s="2">
        <f>F63-F74</f>
        <v>0</v>
      </c>
      <c r="G76" s="2">
        <f>G63-G74</f>
        <v>0</v>
      </c>
      <c r="H76" s="2">
        <f t="shared" ref="H76:M76" si="46">H63-H74</f>
        <v>0</v>
      </c>
      <c r="I76" s="2">
        <f t="shared" si="46"/>
        <v>0</v>
      </c>
      <c r="J76" s="2">
        <f t="shared" si="46"/>
        <v>0</v>
      </c>
      <c r="K76" s="2">
        <f t="shared" si="46"/>
        <v>0</v>
      </c>
      <c r="L76" s="2">
        <f t="shared" si="46"/>
        <v>0</v>
      </c>
      <c r="M76" s="2">
        <f t="shared" si="46"/>
        <v>0</v>
      </c>
      <c r="N76" s="22"/>
    </row>
    <row r="80" spans="2:15" x14ac:dyDescent="0.25">
      <c r="B80" t="s">
        <v>57</v>
      </c>
    </row>
    <row r="81" spans="1:19" x14ac:dyDescent="0.25">
      <c r="B81" t="s">
        <v>58</v>
      </c>
    </row>
    <row r="82" spans="1:19" x14ac:dyDescent="0.25">
      <c r="B82" t="s">
        <v>59</v>
      </c>
    </row>
    <row r="83" spans="1:19" x14ac:dyDescent="0.25">
      <c r="B83" t="s">
        <v>60</v>
      </c>
    </row>
    <row r="84" spans="1:19" x14ac:dyDescent="0.25">
      <c r="B84" t="s">
        <v>61</v>
      </c>
    </row>
    <row r="85" spans="1:19" x14ac:dyDescent="0.25">
      <c r="B85" t="s">
        <v>62</v>
      </c>
    </row>
    <row r="86" spans="1:19" x14ac:dyDescent="0.25">
      <c r="B86" t="s">
        <v>63</v>
      </c>
    </row>
    <row r="87" spans="1:19" x14ac:dyDescent="0.25">
      <c r="B87" t="s">
        <v>64</v>
      </c>
    </row>
    <row r="88" spans="1:19" x14ac:dyDescent="0.25">
      <c r="B88" t="s">
        <v>65</v>
      </c>
    </row>
    <row r="90" spans="1:19" x14ac:dyDescent="0.2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</row>
    <row r="91" spans="1:19" x14ac:dyDescent="0.25">
      <c r="A91" s="23"/>
      <c r="B91" s="24" t="s">
        <v>90</v>
      </c>
      <c r="C91" s="24"/>
    </row>
    <row r="92" spans="1:19" s="13" customFormat="1" x14ac:dyDescent="0.25">
      <c r="B92" s="13" t="s">
        <v>89</v>
      </c>
      <c r="D92" s="13">
        <v>1.22</v>
      </c>
      <c r="E92" s="13" t="s">
        <v>92</v>
      </c>
    </row>
    <row r="93" spans="1:19" s="13" customFormat="1" x14ac:dyDescent="0.25">
      <c r="D93" s="13">
        <v>1.26</v>
      </c>
      <c r="E93" s="13" t="s">
        <v>130</v>
      </c>
    </row>
    <row r="94" spans="1:19" s="13" customFormat="1" x14ac:dyDescent="0.25">
      <c r="C94" s="46"/>
      <c r="D94" s="13">
        <f>AVERAGE(D92:D93)</f>
        <v>1.24</v>
      </c>
      <c r="E94" s="13" t="s">
        <v>137</v>
      </c>
    </row>
    <row r="95" spans="1:19" s="13" customFormat="1" x14ac:dyDescent="0.25"/>
    <row r="96" spans="1:19" x14ac:dyDescent="0.25">
      <c r="A96" s="14" t="s">
        <v>79</v>
      </c>
    </row>
    <row r="97" spans="1:8" x14ac:dyDescent="0.25">
      <c r="B97" t="s">
        <v>80</v>
      </c>
      <c r="D97" s="16">
        <v>1.6199999999999999E-2</v>
      </c>
    </row>
    <row r="98" spans="1:8" x14ac:dyDescent="0.25">
      <c r="B98" t="s">
        <v>81</v>
      </c>
      <c r="D98" s="16">
        <v>8.3000000000000004E-2</v>
      </c>
    </row>
    <row r="99" spans="1:8" x14ac:dyDescent="0.25">
      <c r="B99" t="s">
        <v>82</v>
      </c>
      <c r="D99" s="50">
        <f>D98-D97</f>
        <v>6.6799999999999998E-2</v>
      </c>
      <c r="E99" t="s">
        <v>83</v>
      </c>
    </row>
    <row r="100" spans="1:8" x14ac:dyDescent="0.25">
      <c r="B100" t="s">
        <v>84</v>
      </c>
      <c r="D100" s="50">
        <f>D97+D94*D99</f>
        <v>9.9032000000000009E-2</v>
      </c>
    </row>
    <row r="102" spans="1:8" x14ac:dyDescent="0.25">
      <c r="A102" s="14" t="s">
        <v>85</v>
      </c>
      <c r="F102" t="s">
        <v>96</v>
      </c>
      <c r="H102" t="s">
        <v>97</v>
      </c>
    </row>
    <row r="103" spans="1:8" x14ac:dyDescent="0.25">
      <c r="B103" t="s">
        <v>86</v>
      </c>
      <c r="E103">
        <v>0</v>
      </c>
    </row>
    <row r="104" spans="1:8" x14ac:dyDescent="0.25">
      <c r="B104" t="s">
        <v>87</v>
      </c>
    </row>
    <row r="106" spans="1:8" x14ac:dyDescent="0.25">
      <c r="B106" t="s">
        <v>88</v>
      </c>
      <c r="D106" s="48">
        <v>0.1</v>
      </c>
    </row>
    <row r="108" spans="1:8" x14ac:dyDescent="0.25">
      <c r="A108" s="14" t="s">
        <v>91</v>
      </c>
      <c r="D108" s="16">
        <f>D23</f>
        <v>0.15</v>
      </c>
    </row>
    <row r="110" spans="1:8" x14ac:dyDescent="0.25">
      <c r="B110" s="25" t="s">
        <v>93</v>
      </c>
      <c r="C110" s="40"/>
      <c r="D110" s="26">
        <f>D94</f>
        <v>1.24</v>
      </c>
    </row>
    <row r="111" spans="1:8" x14ac:dyDescent="0.25">
      <c r="B111" s="27" t="s">
        <v>94</v>
      </c>
      <c r="C111" s="21"/>
      <c r="D111" s="28">
        <f>O72</f>
        <v>0.78983942828780318</v>
      </c>
    </row>
    <row r="112" spans="1:8" x14ac:dyDescent="0.25">
      <c r="B112" s="29" t="s">
        <v>95</v>
      </c>
      <c r="C112" s="39"/>
      <c r="D112" s="30">
        <f>O71</f>
        <v>0.2101605717121969</v>
      </c>
      <c r="H112" t="s">
        <v>132</v>
      </c>
    </row>
    <row r="113" spans="1:9" x14ac:dyDescent="0.25">
      <c r="B113" s="31" t="s">
        <v>78</v>
      </c>
      <c r="C113" s="31"/>
      <c r="D113" s="51">
        <f>D111*(1-D108)*D106+D100*D112</f>
        <v>8.7948973142265546E-2</v>
      </c>
      <c r="H113" t="s">
        <v>131</v>
      </c>
      <c r="I113">
        <v>333000000</v>
      </c>
    </row>
    <row r="114" spans="1:9" x14ac:dyDescent="0.25">
      <c r="H114" t="s">
        <v>133</v>
      </c>
      <c r="I114">
        <v>12700000</v>
      </c>
    </row>
    <row r="116" spans="1:9" x14ac:dyDescent="0.25">
      <c r="A116" s="14" t="s">
        <v>98</v>
      </c>
      <c r="H116">
        <f>I113/(I113+I114)</f>
        <v>0.96326294474978302</v>
      </c>
    </row>
    <row r="117" spans="1:9" x14ac:dyDescent="0.25">
      <c r="B117" t="s">
        <v>99</v>
      </c>
      <c r="D117">
        <f>D94</f>
        <v>1.24</v>
      </c>
      <c r="H117">
        <f>I114/(I114+I113)</f>
        <v>3.6737055250216949E-2</v>
      </c>
    </row>
    <row r="118" spans="1:9" x14ac:dyDescent="0.25">
      <c r="B118" t="s">
        <v>100</v>
      </c>
      <c r="D118" s="49">
        <f>H116</f>
        <v>0.96326294474978302</v>
      </c>
    </row>
    <row r="119" spans="1:9" x14ac:dyDescent="0.25">
      <c r="B119" t="s">
        <v>101</v>
      </c>
      <c r="D119" s="49">
        <f>H117</f>
        <v>3.6737055250216949E-2</v>
      </c>
    </row>
    <row r="121" spans="1:9" x14ac:dyDescent="0.25">
      <c r="B121" s="14" t="s">
        <v>134</v>
      </c>
      <c r="C121" s="14"/>
      <c r="D121">
        <f>D117/(1+(1-D108)*(D118/D119))</f>
        <v>5.324767540152156E-2</v>
      </c>
    </row>
    <row r="123" spans="1:9" x14ac:dyDescent="0.25">
      <c r="B123" t="s">
        <v>102</v>
      </c>
      <c r="D123" s="48">
        <f>D111</f>
        <v>0.78983942828780318</v>
      </c>
    </row>
    <row r="124" spans="1:9" x14ac:dyDescent="0.25">
      <c r="B124" t="s">
        <v>103</v>
      </c>
      <c r="D124" s="48">
        <f>D112</f>
        <v>0.2101605717121969</v>
      </c>
    </row>
    <row r="126" spans="1:9" x14ac:dyDescent="0.25">
      <c r="A126" s="14" t="s">
        <v>104</v>
      </c>
      <c r="D126">
        <f>D121*(1+(1-D108)*(D123/D124))</f>
        <v>0.22334878514359577</v>
      </c>
    </row>
    <row r="128" spans="1:9" x14ac:dyDescent="0.25">
      <c r="A128" s="14" t="s">
        <v>79</v>
      </c>
    </row>
    <row r="129" spans="1:17" x14ac:dyDescent="0.25">
      <c r="B129" t="s">
        <v>80</v>
      </c>
      <c r="D129" s="16">
        <v>1.6199999999999999E-2</v>
      </c>
    </row>
    <row r="130" spans="1:17" x14ac:dyDescent="0.25">
      <c r="B130" t="s">
        <v>81</v>
      </c>
      <c r="D130" s="52">
        <f>D98</f>
        <v>8.3000000000000004E-2</v>
      </c>
    </row>
    <row r="131" spans="1:17" x14ac:dyDescent="0.25">
      <c r="B131" t="s">
        <v>82</v>
      </c>
      <c r="D131" s="49">
        <f>D130-D129</f>
        <v>6.6799999999999998E-2</v>
      </c>
    </row>
    <row r="133" spans="1:17" x14ac:dyDescent="0.25">
      <c r="B133" t="s">
        <v>138</v>
      </c>
      <c r="D133">
        <f>D129+D126*D131</f>
        <v>3.1119698847592196E-2</v>
      </c>
    </row>
    <row r="135" spans="1:17" x14ac:dyDescent="0.25">
      <c r="B135" s="25" t="s">
        <v>138</v>
      </c>
      <c r="C135" s="40"/>
      <c r="D135" s="55">
        <f>D133</f>
        <v>3.1119698847592196E-2</v>
      </c>
    </row>
    <row r="136" spans="1:17" x14ac:dyDescent="0.25">
      <c r="B136" s="27" t="s">
        <v>94</v>
      </c>
      <c r="C136" s="21"/>
      <c r="D136" s="28">
        <f>D111</f>
        <v>0.78983942828780318</v>
      </c>
    </row>
    <row r="137" spans="1:17" x14ac:dyDescent="0.25">
      <c r="B137" s="29" t="s">
        <v>95</v>
      </c>
      <c r="C137" s="39"/>
      <c r="D137" s="28">
        <f>D112</f>
        <v>0.2101605717121969</v>
      </c>
    </row>
    <row r="138" spans="1:17" x14ac:dyDescent="0.25">
      <c r="B138" s="14" t="s">
        <v>78</v>
      </c>
      <c r="C138" s="14"/>
      <c r="D138" s="53">
        <f>D136*D26*(1-D108)+D137*D133</f>
        <v>7.3676485105784645E-2</v>
      </c>
    </row>
    <row r="140" spans="1:17" x14ac:dyDescent="0.25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</row>
    <row r="141" spans="1:17" x14ac:dyDescent="0.25">
      <c r="A141" s="32"/>
      <c r="B141" s="36" t="s">
        <v>105</v>
      </c>
      <c r="C141" s="36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</row>
    <row r="142" spans="1:17" x14ac:dyDescent="0.25">
      <c r="A142" s="32"/>
      <c r="B142" s="36"/>
      <c r="C142" s="36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</row>
    <row r="144" spans="1:17" x14ac:dyDescent="0.25">
      <c r="A144" s="36" t="s">
        <v>106</v>
      </c>
      <c r="B144" s="32"/>
      <c r="C144" s="32"/>
      <c r="D144" s="32"/>
      <c r="E144" s="41">
        <v>2012</v>
      </c>
      <c r="F144" s="42">
        <f>E144+1</f>
        <v>2013</v>
      </c>
      <c r="G144" s="42">
        <f t="shared" ref="G144:O144" si="47">F144+1</f>
        <v>2014</v>
      </c>
      <c r="H144" s="42">
        <f t="shared" si="47"/>
        <v>2015</v>
      </c>
      <c r="I144" s="42">
        <f t="shared" si="47"/>
        <v>2016</v>
      </c>
      <c r="J144" s="42">
        <f t="shared" si="47"/>
        <v>2017</v>
      </c>
      <c r="K144" s="42">
        <f t="shared" si="47"/>
        <v>2018</v>
      </c>
      <c r="L144" s="42">
        <f t="shared" si="47"/>
        <v>2019</v>
      </c>
      <c r="M144" s="42">
        <f t="shared" si="47"/>
        <v>2020</v>
      </c>
      <c r="N144" s="42">
        <f t="shared" si="47"/>
        <v>2021</v>
      </c>
      <c r="O144" s="42">
        <f t="shared" si="47"/>
        <v>2022</v>
      </c>
    </row>
    <row r="145" spans="1:16" x14ac:dyDescent="0.25">
      <c r="A145" s="32"/>
      <c r="B145" s="32"/>
      <c r="C145" s="32"/>
      <c r="D145" s="33" t="s">
        <v>107</v>
      </c>
      <c r="E145" s="35"/>
      <c r="F145" s="35">
        <f>D45</f>
        <v>-2494</v>
      </c>
      <c r="G145" s="35">
        <f t="shared" ref="G145:O145" si="48">E45</f>
        <v>-1522.3399999999992</v>
      </c>
      <c r="H145" s="35">
        <f t="shared" si="48"/>
        <v>-948.62799999999788</v>
      </c>
      <c r="I145" s="35">
        <f t="shared" si="48"/>
        <v>-349.29079999999794</v>
      </c>
      <c r="J145" s="35">
        <f t="shared" si="48"/>
        <v>309.9801200000029</v>
      </c>
      <c r="K145" s="35">
        <f t="shared" si="48"/>
        <v>1035.1781320000036</v>
      </c>
      <c r="L145" s="35">
        <f t="shared" si="48"/>
        <v>1832.8959452000036</v>
      </c>
      <c r="M145" s="35">
        <f t="shared" si="48"/>
        <v>2710.385539720005</v>
      </c>
      <c r="N145" s="35">
        <f t="shared" si="48"/>
        <v>3675.6240936920076</v>
      </c>
      <c r="O145" s="35">
        <f t="shared" si="48"/>
        <v>4737.386503061206</v>
      </c>
    </row>
    <row r="146" spans="1:16" x14ac:dyDescent="0.25">
      <c r="A146" s="32"/>
      <c r="B146" s="32"/>
      <c r="C146" s="32"/>
      <c r="D146" s="33" t="s">
        <v>108</v>
      </c>
      <c r="E146" s="35"/>
      <c r="F146" s="35">
        <f>D43</f>
        <v>70</v>
      </c>
      <c r="G146" s="35">
        <f t="shared" ref="G146:L146" si="49">E43</f>
        <v>70</v>
      </c>
      <c r="H146" s="35">
        <f t="shared" si="49"/>
        <v>70</v>
      </c>
      <c r="I146" s="35">
        <f t="shared" si="49"/>
        <v>70</v>
      </c>
      <c r="J146" s="35">
        <f t="shared" si="49"/>
        <v>70</v>
      </c>
      <c r="K146" s="35">
        <f t="shared" si="49"/>
        <v>70</v>
      </c>
      <c r="L146" s="35">
        <f t="shared" si="49"/>
        <v>70</v>
      </c>
      <c r="M146" s="35">
        <f t="shared" ref="M146" si="50">K43</f>
        <v>70</v>
      </c>
      <c r="N146" s="35">
        <f t="shared" ref="N146:O146" si="51">L43</f>
        <v>70</v>
      </c>
      <c r="O146" s="35">
        <f t="shared" si="51"/>
        <v>70</v>
      </c>
      <c r="P146" s="35"/>
    </row>
    <row r="147" spans="1:16" x14ac:dyDescent="0.25">
      <c r="A147" s="32"/>
      <c r="B147" s="32"/>
      <c r="C147" s="32"/>
      <c r="D147" s="33" t="s">
        <v>109</v>
      </c>
      <c r="E147" s="35"/>
      <c r="F147" s="35">
        <f>F145-F146</f>
        <v>-2564</v>
      </c>
      <c r="G147" s="35">
        <f t="shared" ref="G147:O147" si="52">G145-G146</f>
        <v>-1592.3399999999992</v>
      </c>
      <c r="H147" s="35">
        <f t="shared" si="52"/>
        <v>-1018.6279999999979</v>
      </c>
      <c r="I147" s="35">
        <f t="shared" si="52"/>
        <v>-419.29079999999794</v>
      </c>
      <c r="J147" s="35">
        <f t="shared" si="52"/>
        <v>239.9801200000029</v>
      </c>
      <c r="K147" s="35">
        <f t="shared" si="52"/>
        <v>965.17813200000364</v>
      </c>
      <c r="L147" s="35">
        <f t="shared" si="52"/>
        <v>1762.8959452000036</v>
      </c>
      <c r="M147" s="35">
        <f t="shared" si="52"/>
        <v>2640.385539720005</v>
      </c>
      <c r="N147" s="35">
        <f t="shared" si="52"/>
        <v>3605.6240936920076</v>
      </c>
      <c r="O147" s="35">
        <f t="shared" si="52"/>
        <v>4667.386503061206</v>
      </c>
    </row>
    <row r="148" spans="1:16" x14ac:dyDescent="0.25">
      <c r="A148" s="32"/>
      <c r="B148" s="32"/>
      <c r="C148" s="32"/>
      <c r="D148" s="33" t="s">
        <v>110</v>
      </c>
      <c r="E148" s="35"/>
      <c r="F148" s="35">
        <f>IF(F147&gt;0,F147*$D$23,0)</f>
        <v>0</v>
      </c>
      <c r="G148" s="35">
        <f t="shared" ref="G148:O148" si="53">IF(G147&gt;0,G147*$D$23,0)</f>
        <v>0</v>
      </c>
      <c r="H148" s="35">
        <f t="shared" si="53"/>
        <v>0</v>
      </c>
      <c r="I148" s="35">
        <f t="shared" si="53"/>
        <v>0</v>
      </c>
      <c r="J148" s="35">
        <f t="shared" si="53"/>
        <v>35.997018000000431</v>
      </c>
      <c r="K148" s="35">
        <f t="shared" si="53"/>
        <v>144.77671980000054</v>
      </c>
      <c r="L148" s="35">
        <f t="shared" si="53"/>
        <v>264.43439178000051</v>
      </c>
      <c r="M148" s="35">
        <f t="shared" si="53"/>
        <v>396.05783095800075</v>
      </c>
      <c r="N148" s="35">
        <f t="shared" si="53"/>
        <v>540.84361405380116</v>
      </c>
      <c r="O148" s="35">
        <f t="shared" si="53"/>
        <v>700.10797545918092</v>
      </c>
    </row>
    <row r="149" spans="1:16" x14ac:dyDescent="0.25">
      <c r="A149" s="32"/>
      <c r="B149" s="32"/>
      <c r="C149" s="32"/>
      <c r="D149" s="33" t="s">
        <v>111</v>
      </c>
      <c r="E149" s="35"/>
      <c r="F149" s="35">
        <f>D43</f>
        <v>70</v>
      </c>
      <c r="G149" s="35">
        <f t="shared" ref="G149:O149" si="54">E43</f>
        <v>70</v>
      </c>
      <c r="H149" s="35">
        <f t="shared" si="54"/>
        <v>70</v>
      </c>
      <c r="I149" s="35">
        <f t="shared" si="54"/>
        <v>70</v>
      </c>
      <c r="J149" s="35">
        <f t="shared" si="54"/>
        <v>70</v>
      </c>
      <c r="K149" s="35">
        <f t="shared" si="54"/>
        <v>70</v>
      </c>
      <c r="L149" s="35">
        <f t="shared" si="54"/>
        <v>70</v>
      </c>
      <c r="M149" s="35">
        <f t="shared" si="54"/>
        <v>70</v>
      </c>
      <c r="N149" s="35">
        <f t="shared" si="54"/>
        <v>70</v>
      </c>
      <c r="O149" s="35">
        <f t="shared" si="54"/>
        <v>70</v>
      </c>
    </row>
    <row r="150" spans="1:16" x14ac:dyDescent="0.25">
      <c r="A150" s="36" t="s">
        <v>112</v>
      </c>
      <c r="B150" s="32"/>
      <c r="C150" s="32"/>
      <c r="D150" s="32"/>
      <c r="E150" s="35"/>
      <c r="F150" s="35">
        <f>F147-F148+F149</f>
        <v>-2494</v>
      </c>
      <c r="G150" s="35">
        <f t="shared" ref="G150:O150" si="55">G147-G148+G149</f>
        <v>-1522.3399999999992</v>
      </c>
      <c r="H150" s="35">
        <f t="shared" si="55"/>
        <v>-948.62799999999788</v>
      </c>
      <c r="I150" s="35">
        <f t="shared" si="55"/>
        <v>-349.29079999999794</v>
      </c>
      <c r="J150" s="35">
        <f t="shared" si="55"/>
        <v>273.98310200000248</v>
      </c>
      <c r="K150" s="35">
        <f t="shared" si="55"/>
        <v>890.40141220000305</v>
      </c>
      <c r="L150" s="35">
        <f t="shared" si="55"/>
        <v>1568.4615534200029</v>
      </c>
      <c r="M150" s="35">
        <f t="shared" si="55"/>
        <v>2314.3277087620045</v>
      </c>
      <c r="N150" s="35">
        <f t="shared" si="55"/>
        <v>3134.7804796382065</v>
      </c>
      <c r="O150" s="35">
        <f t="shared" si="55"/>
        <v>4037.278527602025</v>
      </c>
    </row>
    <row r="151" spans="1:16" x14ac:dyDescent="0.25">
      <c r="A151" s="32"/>
      <c r="B151" s="32"/>
      <c r="C151" s="32"/>
      <c r="D151" s="32"/>
      <c r="E151" s="35"/>
      <c r="F151" s="35"/>
      <c r="G151" s="35"/>
      <c r="H151" s="35"/>
      <c r="I151" s="35"/>
      <c r="J151" s="35"/>
      <c r="K151" s="35"/>
      <c r="L151" s="35"/>
      <c r="M151" s="32"/>
      <c r="N151" s="32"/>
      <c r="O151" s="32"/>
    </row>
    <row r="152" spans="1:16" x14ac:dyDescent="0.25">
      <c r="A152" s="36" t="s">
        <v>113</v>
      </c>
      <c r="B152" s="32"/>
      <c r="C152" s="32"/>
      <c r="D152" s="32"/>
      <c r="E152" s="35"/>
      <c r="F152" s="35"/>
      <c r="G152" s="35"/>
      <c r="H152" s="35"/>
      <c r="I152" s="35"/>
      <c r="J152" s="35"/>
      <c r="K152" s="35"/>
      <c r="L152" s="35"/>
      <c r="M152" s="32"/>
      <c r="N152" s="32"/>
      <c r="O152" s="32"/>
    </row>
    <row r="153" spans="1:16" x14ac:dyDescent="0.25">
      <c r="A153" s="32"/>
      <c r="B153" s="32"/>
      <c r="C153" s="32"/>
      <c r="D153" s="33" t="s">
        <v>126</v>
      </c>
      <c r="E153" s="35">
        <f>-D59</f>
        <v>-350</v>
      </c>
      <c r="F153" s="35"/>
      <c r="G153" s="35"/>
      <c r="H153" s="35"/>
      <c r="I153" s="35"/>
      <c r="J153" s="35">
        <v>-350</v>
      </c>
      <c r="K153" s="35"/>
      <c r="L153" s="35"/>
      <c r="M153" s="35"/>
      <c r="N153" s="35"/>
      <c r="O153" s="35"/>
    </row>
    <row r="154" spans="1:16" x14ac:dyDescent="0.25">
      <c r="A154" s="32"/>
      <c r="B154" s="32"/>
      <c r="C154" s="32"/>
      <c r="D154" s="33" t="s">
        <v>127</v>
      </c>
      <c r="E154" s="35">
        <f>-D58</f>
        <v>-80</v>
      </c>
      <c r="F154" s="35"/>
      <c r="G154" s="35">
        <f t="shared" ref="G154:M154" si="56">-F58</f>
        <v>-80</v>
      </c>
      <c r="H154" s="35"/>
      <c r="I154" s="35">
        <f t="shared" si="56"/>
        <v>-80</v>
      </c>
      <c r="J154" s="35"/>
      <c r="K154" s="35">
        <f t="shared" si="56"/>
        <v>-80</v>
      </c>
      <c r="L154" s="35"/>
      <c r="M154" s="35">
        <f t="shared" si="56"/>
        <v>-80</v>
      </c>
      <c r="N154" s="35"/>
      <c r="O154" s="35"/>
    </row>
    <row r="155" spans="1:16" x14ac:dyDescent="0.25">
      <c r="A155" s="32"/>
      <c r="B155" s="32"/>
      <c r="C155" s="32"/>
      <c r="D155" s="33" t="s">
        <v>128</v>
      </c>
      <c r="E155" s="35"/>
      <c r="F155" s="35"/>
      <c r="G155" s="35"/>
      <c r="H155" s="35"/>
      <c r="I155" s="35"/>
      <c r="J155" s="35"/>
      <c r="K155" s="35"/>
      <c r="L155" s="35"/>
      <c r="M155" s="32"/>
      <c r="N155" s="32">
        <v>0</v>
      </c>
      <c r="O155" s="32"/>
    </row>
    <row r="156" spans="1:16" x14ac:dyDescent="0.25">
      <c r="A156" s="32"/>
      <c r="B156" s="32"/>
      <c r="C156" s="32"/>
      <c r="D156" s="33" t="s">
        <v>129</v>
      </c>
      <c r="E156" s="35"/>
      <c r="F156" s="35"/>
      <c r="G156" s="35"/>
      <c r="H156" s="35"/>
      <c r="I156" s="35"/>
      <c r="J156" s="35"/>
      <c r="K156" s="35"/>
      <c r="L156" s="35"/>
      <c r="M156" s="32"/>
      <c r="N156" s="34">
        <v>0</v>
      </c>
      <c r="O156" s="33"/>
    </row>
    <row r="157" spans="1:16" x14ac:dyDescent="0.25">
      <c r="A157" s="32"/>
      <c r="B157" s="32"/>
      <c r="C157" s="32"/>
      <c r="D157" s="33"/>
      <c r="E157" s="35"/>
      <c r="F157" s="35"/>
      <c r="G157" s="35"/>
      <c r="H157" s="35"/>
      <c r="I157" s="35"/>
      <c r="J157" s="35"/>
      <c r="K157" s="35"/>
      <c r="L157" s="35"/>
      <c r="M157" s="32"/>
      <c r="N157" s="32"/>
      <c r="O157" s="32"/>
    </row>
    <row r="158" spans="1:16" x14ac:dyDescent="0.25">
      <c r="A158" s="32"/>
      <c r="B158" s="32"/>
      <c r="C158" s="32"/>
      <c r="D158" s="32"/>
      <c r="E158" s="35"/>
      <c r="F158" s="35"/>
      <c r="G158" s="35"/>
      <c r="H158" s="35"/>
      <c r="I158" s="35"/>
      <c r="J158" s="35"/>
      <c r="K158" s="35"/>
      <c r="L158" s="35"/>
      <c r="M158" s="32"/>
      <c r="N158" s="32"/>
      <c r="O158" s="32"/>
    </row>
    <row r="159" spans="1:16" x14ac:dyDescent="0.25">
      <c r="A159" s="36" t="s">
        <v>114</v>
      </c>
      <c r="B159" s="32"/>
      <c r="C159" s="32"/>
      <c r="D159" s="32"/>
      <c r="E159" s="35"/>
      <c r="F159" s="35"/>
      <c r="G159" s="35"/>
      <c r="H159" s="35"/>
      <c r="I159" s="35"/>
      <c r="J159" s="35"/>
      <c r="K159" s="35"/>
      <c r="L159" s="35"/>
      <c r="M159" s="32"/>
      <c r="N159" s="32"/>
      <c r="O159" s="32"/>
    </row>
    <row r="160" spans="1:16" x14ac:dyDescent="0.25">
      <c r="A160" s="33" t="s">
        <v>115</v>
      </c>
      <c r="B160" s="33" t="s">
        <v>116</v>
      </c>
      <c r="C160" s="33"/>
      <c r="D160" s="32"/>
      <c r="E160" s="35"/>
      <c r="F160" s="35">
        <f>-(D53-C53)</f>
        <v>-500</v>
      </c>
      <c r="G160" s="35">
        <f t="shared" ref="G160:O160" si="57">-(E53-D53)</f>
        <v>0</v>
      </c>
      <c r="H160" s="35">
        <f t="shared" si="57"/>
        <v>0</v>
      </c>
      <c r="I160" s="35">
        <f t="shared" si="57"/>
        <v>0</v>
      </c>
      <c r="J160" s="35">
        <f t="shared" si="57"/>
        <v>0</v>
      </c>
      <c r="K160" s="35">
        <f t="shared" si="57"/>
        <v>0</v>
      </c>
      <c r="L160" s="35">
        <f t="shared" si="57"/>
        <v>0</v>
      </c>
      <c r="M160" s="35">
        <f t="shared" si="57"/>
        <v>0</v>
      </c>
      <c r="N160" s="35">
        <f t="shared" si="57"/>
        <v>0</v>
      </c>
      <c r="O160" s="35">
        <f t="shared" si="57"/>
        <v>0</v>
      </c>
    </row>
    <row r="161" spans="1:15" x14ac:dyDescent="0.25">
      <c r="A161" s="33" t="s">
        <v>115</v>
      </c>
      <c r="B161" s="33" t="s">
        <v>11</v>
      </c>
      <c r="C161" s="33"/>
      <c r="D161" s="32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>
        <f t="shared" ref="O161" si="58">-M54</f>
        <v>0</v>
      </c>
    </row>
    <row r="162" spans="1:15" x14ac:dyDescent="0.25">
      <c r="A162" s="32" t="s">
        <v>115</v>
      </c>
      <c r="B162" s="33" t="s">
        <v>117</v>
      </c>
      <c r="C162" s="33"/>
      <c r="D162" s="32"/>
      <c r="E162" s="35"/>
      <c r="F162" s="35">
        <f>-(D55-C55)</f>
        <v>-258</v>
      </c>
      <c r="G162" s="35">
        <f t="shared" ref="G162:O162" si="59">-(E55-D55)</f>
        <v>0</v>
      </c>
      <c r="H162" s="35">
        <f t="shared" si="59"/>
        <v>0</v>
      </c>
      <c r="I162" s="35">
        <f t="shared" si="59"/>
        <v>0</v>
      </c>
      <c r="J162" s="35">
        <f t="shared" si="59"/>
        <v>0</v>
      </c>
      <c r="K162" s="35">
        <f t="shared" si="59"/>
        <v>0</v>
      </c>
      <c r="L162" s="35">
        <f t="shared" si="59"/>
        <v>0</v>
      </c>
      <c r="M162" s="35">
        <f t="shared" si="59"/>
        <v>0</v>
      </c>
      <c r="N162" s="35">
        <f t="shared" si="59"/>
        <v>0</v>
      </c>
      <c r="O162" s="35">
        <f t="shared" si="59"/>
        <v>0</v>
      </c>
    </row>
    <row r="163" spans="1:15" x14ac:dyDescent="0.25">
      <c r="A163" s="32"/>
      <c r="B163" s="32"/>
      <c r="C163" s="32"/>
      <c r="D163" s="32"/>
      <c r="E163" s="35"/>
      <c r="F163" s="35"/>
      <c r="G163" s="35"/>
      <c r="H163" s="35"/>
      <c r="I163" s="35"/>
      <c r="J163" s="35"/>
      <c r="K163" s="35"/>
      <c r="L163" s="35"/>
    </row>
    <row r="164" spans="1:15" x14ac:dyDescent="0.25">
      <c r="A164" s="33" t="s">
        <v>118</v>
      </c>
      <c r="B164" s="37" t="s">
        <v>119</v>
      </c>
      <c r="C164" s="37"/>
      <c r="D164" s="32"/>
      <c r="E164" s="35"/>
      <c r="F164" s="35">
        <f>D66</f>
        <v>0</v>
      </c>
      <c r="G164" s="35">
        <f t="shared" ref="G164:O164" si="60">E66</f>
        <v>0</v>
      </c>
      <c r="H164" s="35">
        <f t="shared" si="60"/>
        <v>0</v>
      </c>
      <c r="I164" s="35">
        <f t="shared" si="60"/>
        <v>0</v>
      </c>
      <c r="J164" s="35">
        <f t="shared" si="60"/>
        <v>0</v>
      </c>
      <c r="K164" s="35">
        <f t="shared" si="60"/>
        <v>0</v>
      </c>
      <c r="L164" s="35">
        <f t="shared" si="60"/>
        <v>0</v>
      </c>
      <c r="M164" s="35">
        <f t="shared" si="60"/>
        <v>0</v>
      </c>
      <c r="N164" s="35">
        <f t="shared" si="60"/>
        <v>0</v>
      </c>
      <c r="O164" s="35">
        <f t="shared" si="60"/>
        <v>0</v>
      </c>
    </row>
    <row r="165" spans="1:15" x14ac:dyDescent="0.25">
      <c r="A165" s="33" t="s">
        <v>118</v>
      </c>
      <c r="B165" s="33" t="s">
        <v>120</v>
      </c>
      <c r="C165" s="33"/>
      <c r="D165" s="32"/>
      <c r="E165" s="35"/>
      <c r="F165" s="35">
        <f>F148-E148</f>
        <v>0</v>
      </c>
      <c r="G165" s="35">
        <f t="shared" ref="G165:O165" si="61">G148-F148</f>
        <v>0</v>
      </c>
      <c r="H165" s="35">
        <f t="shared" si="61"/>
        <v>0</v>
      </c>
      <c r="I165" s="35">
        <f t="shared" si="61"/>
        <v>0</v>
      </c>
      <c r="J165" s="35">
        <f t="shared" si="61"/>
        <v>35.997018000000431</v>
      </c>
      <c r="K165" s="35">
        <f t="shared" si="61"/>
        <v>108.77970180000011</v>
      </c>
      <c r="L165" s="35">
        <f t="shared" si="61"/>
        <v>119.65767197999998</v>
      </c>
      <c r="M165" s="35">
        <f t="shared" si="61"/>
        <v>131.62343917800024</v>
      </c>
      <c r="N165" s="35">
        <f t="shared" si="61"/>
        <v>144.78578309580041</v>
      </c>
      <c r="O165" s="35">
        <f t="shared" si="61"/>
        <v>159.26436140537976</v>
      </c>
    </row>
    <row r="166" spans="1:15" x14ac:dyDescent="0.25">
      <c r="A166" s="32"/>
      <c r="B166" s="32"/>
      <c r="C166" s="32"/>
      <c r="D166" s="32"/>
      <c r="E166" s="35"/>
      <c r="F166" s="35"/>
      <c r="G166" s="35"/>
      <c r="H166" s="35"/>
      <c r="I166" s="35"/>
      <c r="J166" s="35"/>
      <c r="K166" s="35"/>
      <c r="L166" s="35"/>
    </row>
    <row r="167" spans="1:15" x14ac:dyDescent="0.25">
      <c r="A167" s="36" t="s">
        <v>121</v>
      </c>
      <c r="B167" s="32"/>
      <c r="C167" s="32"/>
      <c r="D167" s="32"/>
      <c r="E167" s="35"/>
      <c r="F167" s="35"/>
      <c r="G167" s="35"/>
      <c r="H167" s="35"/>
      <c r="I167" s="35"/>
      <c r="J167" s="35"/>
      <c r="K167" s="35"/>
      <c r="L167" s="35"/>
    </row>
    <row r="168" spans="1:15" x14ac:dyDescent="0.25">
      <c r="A168" s="38" t="s">
        <v>118</v>
      </c>
      <c r="B168" s="33" t="s">
        <v>116</v>
      </c>
      <c r="C168" s="33"/>
      <c r="D168" s="32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>
        <f>M53</f>
        <v>500</v>
      </c>
    </row>
    <row r="169" spans="1:15" x14ac:dyDescent="0.25">
      <c r="A169" s="38" t="s">
        <v>118</v>
      </c>
      <c r="B169" s="33" t="s">
        <v>11</v>
      </c>
      <c r="C169" s="33"/>
      <c r="D169" s="32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>
        <f t="shared" ref="O169" si="62">M54</f>
        <v>0</v>
      </c>
    </row>
    <row r="170" spans="1:15" x14ac:dyDescent="0.25">
      <c r="A170" s="38"/>
      <c r="B170" s="33" t="s">
        <v>117</v>
      </c>
      <c r="C170" s="33"/>
      <c r="D170" s="32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>
        <f>M55</f>
        <v>258</v>
      </c>
    </row>
    <row r="171" spans="1:15" x14ac:dyDescent="0.25">
      <c r="A171" s="32"/>
      <c r="B171" s="32"/>
      <c r="C171" s="32"/>
      <c r="D171" s="32"/>
      <c r="E171" s="35"/>
      <c r="F171" s="35"/>
      <c r="G171" s="35"/>
      <c r="H171" s="35"/>
      <c r="I171" s="35"/>
      <c r="J171" s="35"/>
      <c r="K171" s="35"/>
      <c r="L171" s="35"/>
    </row>
    <row r="172" spans="1:15" x14ac:dyDescent="0.25">
      <c r="A172" s="38" t="s">
        <v>115</v>
      </c>
      <c r="B172" s="37" t="s">
        <v>119</v>
      </c>
      <c r="C172" s="37"/>
      <c r="D172" s="32"/>
      <c r="E172" s="35"/>
      <c r="F172" s="35"/>
      <c r="G172" s="35"/>
      <c r="H172" s="35"/>
      <c r="I172" s="35"/>
      <c r="J172" s="35"/>
      <c r="K172" s="35"/>
      <c r="L172" s="35"/>
      <c r="O172" s="15">
        <v>0</v>
      </c>
    </row>
    <row r="173" spans="1:15" x14ac:dyDescent="0.25">
      <c r="A173" s="38" t="s">
        <v>115</v>
      </c>
      <c r="B173" s="33" t="s">
        <v>120</v>
      </c>
      <c r="C173" s="33"/>
      <c r="D173" s="32"/>
      <c r="E173" s="35"/>
      <c r="F173" s="35"/>
      <c r="G173" s="35"/>
      <c r="H173" s="35"/>
      <c r="I173" s="35"/>
      <c r="J173" s="35"/>
      <c r="K173" s="35"/>
      <c r="L173" s="35"/>
      <c r="O173" s="56">
        <f>-O148</f>
        <v>-700.10797545918092</v>
      </c>
    </row>
    <row r="174" spans="1:15" x14ac:dyDescent="0.25">
      <c r="A174" s="32"/>
      <c r="B174" s="32"/>
      <c r="C174" s="32"/>
      <c r="D174" s="32"/>
      <c r="E174" s="35"/>
      <c r="F174" s="35"/>
      <c r="G174" s="35"/>
      <c r="H174" s="35"/>
      <c r="I174" s="35"/>
      <c r="J174" s="35"/>
      <c r="K174" s="35"/>
      <c r="L174" s="35"/>
    </row>
    <row r="175" spans="1:15" x14ac:dyDescent="0.25">
      <c r="A175" s="32"/>
      <c r="B175" s="32"/>
      <c r="C175" s="32"/>
      <c r="D175" s="32"/>
      <c r="E175" s="35"/>
      <c r="F175" s="35"/>
      <c r="G175" s="35"/>
      <c r="H175" s="35"/>
      <c r="I175" s="35"/>
      <c r="J175" s="35"/>
      <c r="K175" s="35"/>
      <c r="L175" s="35"/>
    </row>
    <row r="176" spans="1:15" x14ac:dyDescent="0.25">
      <c r="A176" s="36" t="s">
        <v>122</v>
      </c>
      <c r="B176" s="32"/>
      <c r="C176" s="32"/>
      <c r="D176" s="32"/>
      <c r="E176" s="35">
        <f>SUM(E150:E175)</f>
        <v>-430</v>
      </c>
      <c r="F176" s="35">
        <f t="shared" ref="F176:O176" si="63">SUM(F150:F175)</f>
        <v>-3252</v>
      </c>
      <c r="G176" s="35">
        <f t="shared" si="63"/>
        <v>-1602.3399999999992</v>
      </c>
      <c r="H176" s="35">
        <f t="shared" si="63"/>
        <v>-948.62799999999788</v>
      </c>
      <c r="I176" s="35">
        <f t="shared" si="63"/>
        <v>-429.29079999999794</v>
      </c>
      <c r="J176" s="35">
        <f t="shared" si="63"/>
        <v>-40.019879999997094</v>
      </c>
      <c r="K176" s="35">
        <f t="shared" si="63"/>
        <v>919.18111400000316</v>
      </c>
      <c r="L176" s="35">
        <f t="shared" si="63"/>
        <v>1688.119225400003</v>
      </c>
      <c r="M176" s="35">
        <f t="shared" si="63"/>
        <v>2365.9511479400048</v>
      </c>
      <c r="N176" s="35">
        <f t="shared" si="63"/>
        <v>3279.5662627340071</v>
      </c>
      <c r="O176" s="35">
        <f t="shared" si="63"/>
        <v>4254.4349135482234</v>
      </c>
    </row>
    <row r="177" spans="1:15" x14ac:dyDescent="0.25">
      <c r="A177" s="33" t="s">
        <v>123</v>
      </c>
      <c r="B177" s="32"/>
      <c r="C177" s="32"/>
      <c r="D177" s="32"/>
      <c r="E177" s="35">
        <f>PV($E$179,E178,,-E176)</f>
        <v>-430</v>
      </c>
      <c r="F177" s="35">
        <f t="shared" ref="F177:O177" si="64">PV($E$179,F178,,-F176)</f>
        <v>-3028.845322694754</v>
      </c>
      <c r="G177" s="35">
        <f t="shared" si="64"/>
        <v>-1389.9775667835434</v>
      </c>
      <c r="H177" s="35">
        <f>PV($E$179,H178,,-H176)</f>
        <v>-766.43550376181486</v>
      </c>
      <c r="I177" s="35">
        <f t="shared" si="64"/>
        <v>-323.04112565039776</v>
      </c>
      <c r="J177" s="35">
        <f t="shared" si="64"/>
        <v>-28.048431112439079</v>
      </c>
      <c r="K177" s="35">
        <f t="shared" si="64"/>
        <v>600.01270003492846</v>
      </c>
      <c r="L177" s="35">
        <f t="shared" si="64"/>
        <v>1026.3347288127875</v>
      </c>
      <c r="M177" s="35">
        <f t="shared" si="64"/>
        <v>1339.7329546201133</v>
      </c>
      <c r="N177" s="35">
        <f t="shared" si="64"/>
        <v>1729.6388663798759</v>
      </c>
      <c r="O177" s="35">
        <f t="shared" si="64"/>
        <v>2089.8131995929316</v>
      </c>
    </row>
    <row r="178" spans="1:15" x14ac:dyDescent="0.25">
      <c r="A178" s="32"/>
      <c r="B178" s="32"/>
      <c r="C178" s="32"/>
      <c r="D178" s="32"/>
      <c r="E178" s="33">
        <v>0</v>
      </c>
      <c r="F178" s="33">
        <v>1</v>
      </c>
      <c r="G178" s="33">
        <v>2</v>
      </c>
      <c r="H178" s="33">
        <v>3</v>
      </c>
      <c r="I178" s="33">
        <v>4</v>
      </c>
      <c r="J178" s="33">
        <v>5</v>
      </c>
      <c r="K178" s="33">
        <v>6</v>
      </c>
      <c r="L178" s="33">
        <v>7</v>
      </c>
      <c r="M178" s="43">
        <v>8</v>
      </c>
      <c r="N178" s="43">
        <v>9</v>
      </c>
      <c r="O178" s="43">
        <v>10</v>
      </c>
    </row>
    <row r="179" spans="1:15" x14ac:dyDescent="0.25">
      <c r="A179" s="32"/>
      <c r="B179" s="32"/>
      <c r="C179" s="32"/>
      <c r="D179" s="33" t="s">
        <v>78</v>
      </c>
      <c r="E179" s="54">
        <f>D138</f>
        <v>7.3676485105784645E-2</v>
      </c>
      <c r="F179" s="32"/>
      <c r="G179" s="32"/>
      <c r="H179" s="32"/>
      <c r="I179" s="32"/>
      <c r="J179" s="32"/>
      <c r="K179" s="32"/>
      <c r="L179" s="32"/>
    </row>
    <row r="180" spans="1:15" x14ac:dyDescent="0.25">
      <c r="A180" s="36" t="s">
        <v>124</v>
      </c>
      <c r="B180" s="32"/>
      <c r="C180" s="32"/>
      <c r="D180" s="32"/>
      <c r="E180" s="35">
        <f>SUM(E177:O177)</f>
        <v>819.1844994376886</v>
      </c>
      <c r="F180" s="32"/>
      <c r="G180" s="32"/>
      <c r="H180" s="32"/>
      <c r="I180" s="32"/>
      <c r="J180" s="32"/>
      <c r="K180" s="32"/>
      <c r="L180" s="32"/>
    </row>
    <row r="181" spans="1:15" x14ac:dyDescent="0.25">
      <c r="A181" s="36" t="s">
        <v>125</v>
      </c>
      <c r="B181" s="32"/>
      <c r="C181" s="32"/>
      <c r="D181" s="32"/>
      <c r="E181" s="44">
        <f>IRR(E176:O176)</f>
        <v>9.3774354927506298E-2</v>
      </c>
      <c r="F181" s="32"/>
      <c r="G181" s="32"/>
      <c r="H181" s="32"/>
      <c r="I181" s="32"/>
      <c r="J181" s="32"/>
      <c r="K181" s="32"/>
      <c r="L181" s="3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2013-12-19T19:51:50Z</dcterms:created>
  <dcterms:modified xsi:type="dcterms:W3CDTF">2019-08-14T21:36:13Z</dcterms:modified>
</cp:coreProperties>
</file>