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0" yWindow="0" windowWidth="25440" windowHeight="12945"/>
  </bookViews>
  <sheets>
    <sheet name="Sheet1" sheetId="1" r:id="rId1"/>
    <sheet name="Sheet2" sheetId="2" r:id="rId2"/>
    <sheet name="Sheet3" sheetId="3" r:id="rId3"/>
  </sheets>
  <calcPr calcId="145621" iterateDelta="1E-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54" i="1" l="1"/>
  <c r="I55" i="1"/>
  <c r="I99" i="1"/>
  <c r="I102" i="1" s="1"/>
  <c r="F55" i="1"/>
  <c r="G55" i="1" s="1"/>
  <c r="B118" i="1"/>
  <c r="C24" i="1"/>
  <c r="C30" i="1" s="1"/>
  <c r="C25" i="1"/>
  <c r="C26" i="1"/>
  <c r="C27" i="1"/>
  <c r="C28" i="1"/>
  <c r="C29" i="1"/>
  <c r="C35" i="1"/>
  <c r="C38" i="1" s="1"/>
  <c r="C99" i="1"/>
  <c r="C102" i="1" s="1"/>
  <c r="C109" i="1"/>
  <c r="D3" i="1"/>
  <c r="E3" i="1" s="1"/>
  <c r="F3" i="1" s="1"/>
  <c r="F24" i="1" s="1"/>
  <c r="D24" i="1"/>
  <c r="D30" i="1" s="1"/>
  <c r="D4" i="1"/>
  <c r="D25" i="1"/>
  <c r="D5" i="1"/>
  <c r="D26" i="1"/>
  <c r="D6" i="1"/>
  <c r="D27" i="1"/>
  <c r="D7" i="1"/>
  <c r="D28" i="1"/>
  <c r="D11" i="1"/>
  <c r="D29" i="1"/>
  <c r="D33" i="1"/>
  <c r="D35" i="1"/>
  <c r="D38" i="1" s="1"/>
  <c r="D37" i="1"/>
  <c r="D99" i="1"/>
  <c r="D102" i="1" s="1"/>
  <c r="C41" i="1"/>
  <c r="E4" i="1"/>
  <c r="E25" i="1" s="1"/>
  <c r="E5" i="1"/>
  <c r="E26" i="1" s="1"/>
  <c r="E6" i="1"/>
  <c r="E27" i="1"/>
  <c r="E7" i="1"/>
  <c r="E11" i="1"/>
  <c r="F11" i="1" s="1"/>
  <c r="E35" i="1"/>
  <c r="E37" i="1"/>
  <c r="E99" i="1"/>
  <c r="E102" i="1" s="1"/>
  <c r="D41" i="1"/>
  <c r="F6" i="1"/>
  <c r="F27" i="1"/>
  <c r="F35" i="1"/>
  <c r="F37" i="1"/>
  <c r="G37" i="1" s="1"/>
  <c r="H37" i="1" s="1"/>
  <c r="I37" i="1" s="1"/>
  <c r="J37" i="1" s="1"/>
  <c r="E41" i="1"/>
  <c r="G6" i="1"/>
  <c r="G27" i="1" s="1"/>
  <c r="G29" i="1"/>
  <c r="G35" i="1"/>
  <c r="F41" i="1"/>
  <c r="H35" i="1"/>
  <c r="G41" i="1"/>
  <c r="I35" i="1"/>
  <c r="H41" i="1"/>
  <c r="J35" i="1"/>
  <c r="J99" i="1"/>
  <c r="J102" i="1"/>
  <c r="I41" i="1"/>
  <c r="C83" i="1"/>
  <c r="C89" i="1" s="1"/>
  <c r="J41" i="1"/>
  <c r="E83" i="1"/>
  <c r="C85" i="1"/>
  <c r="E89" i="1" s="1"/>
  <c r="C78" i="1"/>
  <c r="C80" i="1" s="1"/>
  <c r="E90" i="1" s="1"/>
  <c r="C86" i="1"/>
  <c r="L106" i="1"/>
  <c r="D54" i="1"/>
  <c r="E54" i="1"/>
  <c r="C52" i="1"/>
  <c r="C57" i="1"/>
  <c r="E28" i="1"/>
  <c r="F7" i="1"/>
  <c r="C39" i="1"/>
  <c r="F5" i="1"/>
  <c r="E33" i="1"/>
  <c r="E38" i="1" s="1"/>
  <c r="F28" i="1"/>
  <c r="G7" i="1"/>
  <c r="F33" i="1"/>
  <c r="G33" i="1" s="1"/>
  <c r="G28" i="1"/>
  <c r="H7" i="1"/>
  <c r="H28" i="1"/>
  <c r="I7" i="1"/>
  <c r="I28" i="1" s="1"/>
  <c r="J7" i="1"/>
  <c r="J28" i="1" s="1"/>
  <c r="C43" i="1" l="1"/>
  <c r="C98" i="1"/>
  <c r="C100" i="1" s="1"/>
  <c r="G11" i="1"/>
  <c r="H11" i="1" s="1"/>
  <c r="F29" i="1"/>
  <c r="F38" i="1"/>
  <c r="G3" i="1"/>
  <c r="E24" i="1"/>
  <c r="D39" i="1"/>
  <c r="H55" i="1"/>
  <c r="H99" i="1" s="1"/>
  <c r="H102" i="1" s="1"/>
  <c r="G99" i="1"/>
  <c r="G102" i="1" s="1"/>
  <c r="H33" i="1"/>
  <c r="G38" i="1"/>
  <c r="F26" i="1"/>
  <c r="G5" i="1"/>
  <c r="E29" i="1"/>
  <c r="F99" i="1"/>
  <c r="F102" i="1" s="1"/>
  <c r="H6" i="1"/>
  <c r="G54" i="1"/>
  <c r="H54" i="1" s="1"/>
  <c r="F4" i="1"/>
  <c r="H27" i="1" l="1"/>
  <c r="I6" i="1"/>
  <c r="G24" i="1"/>
  <c r="H3" i="1"/>
  <c r="C101" i="1"/>
  <c r="C111" i="1" s="1"/>
  <c r="C103" i="1"/>
  <c r="C118" i="1" s="1"/>
  <c r="C45" i="1"/>
  <c r="C44" i="1"/>
  <c r="C60" i="1" s="1"/>
  <c r="F25" i="1"/>
  <c r="F30" i="1" s="1"/>
  <c r="F39" i="1" s="1"/>
  <c r="G4" i="1"/>
  <c r="D98" i="1"/>
  <c r="D100" i="1" s="1"/>
  <c r="D43" i="1"/>
  <c r="G26" i="1"/>
  <c r="H5" i="1"/>
  <c r="H38" i="1"/>
  <c r="I33" i="1"/>
  <c r="E30" i="1"/>
  <c r="E39" i="1" s="1"/>
  <c r="I11" i="1"/>
  <c r="H29" i="1"/>
  <c r="D101" i="1" l="1"/>
  <c r="D111" i="1" s="1"/>
  <c r="C72" i="1"/>
  <c r="C65" i="1"/>
  <c r="G30" i="1"/>
  <c r="G39" i="1" s="1"/>
  <c r="I29" i="1"/>
  <c r="J11" i="1"/>
  <c r="J29" i="1" s="1"/>
  <c r="H26" i="1"/>
  <c r="I5" i="1"/>
  <c r="G25" i="1"/>
  <c r="H4" i="1"/>
  <c r="I27" i="1"/>
  <c r="J6" i="1"/>
  <c r="J27" i="1" s="1"/>
  <c r="E43" i="1"/>
  <c r="E98" i="1"/>
  <c r="E100" i="1" s="1"/>
  <c r="F98" i="1"/>
  <c r="F100" i="1" s="1"/>
  <c r="F43" i="1"/>
  <c r="I38" i="1"/>
  <c r="J33" i="1"/>
  <c r="J38" i="1" s="1"/>
  <c r="D45" i="1"/>
  <c r="D44" i="1"/>
  <c r="D60" i="1" s="1"/>
  <c r="C70" i="1"/>
  <c r="C67" i="1"/>
  <c r="H24" i="1"/>
  <c r="I3" i="1"/>
  <c r="D65" i="1" l="1"/>
  <c r="D71" i="1" s="1"/>
  <c r="F101" i="1"/>
  <c r="F103" i="1"/>
  <c r="I26" i="1"/>
  <c r="J5" i="1"/>
  <c r="J26" i="1" s="1"/>
  <c r="G43" i="1"/>
  <c r="G98" i="1"/>
  <c r="G100" i="1" s="1"/>
  <c r="E101" i="1"/>
  <c r="E111" i="1" s="1"/>
  <c r="C71" i="1"/>
  <c r="D51" i="1"/>
  <c r="D103" i="1"/>
  <c r="E44" i="1"/>
  <c r="E60" i="1" s="1"/>
  <c r="E45" i="1"/>
  <c r="H25" i="1"/>
  <c r="H30" i="1" s="1"/>
  <c r="H39" i="1" s="1"/>
  <c r="I4" i="1"/>
  <c r="C73" i="1"/>
  <c r="J3" i="1"/>
  <c r="J24" i="1" s="1"/>
  <c r="I24" i="1"/>
  <c r="D67" i="1"/>
  <c r="F44" i="1"/>
  <c r="F60" i="1" s="1"/>
  <c r="F45" i="1"/>
  <c r="H98" i="1" l="1"/>
  <c r="H100" i="1" s="1"/>
  <c r="H43" i="1"/>
  <c r="J4" i="1"/>
  <c r="J25" i="1" s="1"/>
  <c r="J30" i="1" s="1"/>
  <c r="J39" i="1" s="1"/>
  <c r="I25" i="1"/>
  <c r="D118" i="1"/>
  <c r="I30" i="1"/>
  <c r="I39" i="1" s="1"/>
  <c r="D52" i="1"/>
  <c r="D109" i="1"/>
  <c r="E51" i="1"/>
  <c r="G101" i="1"/>
  <c r="G111" i="1" s="1"/>
  <c r="G103" i="1"/>
  <c r="D73" i="1"/>
  <c r="F65" i="1"/>
  <c r="F71" i="1" s="1"/>
  <c r="F73" i="1"/>
  <c r="E65" i="1"/>
  <c r="E71" i="1" s="1"/>
  <c r="G44" i="1"/>
  <c r="G60" i="1" s="1"/>
  <c r="G45" i="1"/>
  <c r="F111" i="1"/>
  <c r="E103" i="1"/>
  <c r="J98" i="1" l="1"/>
  <c r="J100" i="1" s="1"/>
  <c r="J43" i="1"/>
  <c r="D70" i="1"/>
  <c r="D57" i="1"/>
  <c r="D72" i="1" s="1"/>
  <c r="E118" i="1"/>
  <c r="G65" i="1"/>
  <c r="G71" i="1" s="1"/>
  <c r="G73" i="1"/>
  <c r="E73" i="1"/>
  <c r="I98" i="1"/>
  <c r="I100" i="1" s="1"/>
  <c r="I43" i="1"/>
  <c r="H44" i="1"/>
  <c r="H60" i="1" s="1"/>
  <c r="E67" i="1"/>
  <c r="G67" i="1"/>
  <c r="E109" i="1"/>
  <c r="E52" i="1"/>
  <c r="F51" i="1"/>
  <c r="H101" i="1"/>
  <c r="H111" i="1" s="1"/>
  <c r="F67" i="1"/>
  <c r="E57" i="1" l="1"/>
  <c r="E72" i="1" s="1"/>
  <c r="E70" i="1"/>
  <c r="J44" i="1"/>
  <c r="J60" i="1" s="1"/>
  <c r="J45" i="1"/>
  <c r="H103" i="1"/>
  <c r="H45" i="1"/>
  <c r="J101" i="1"/>
  <c r="J103" i="1"/>
  <c r="I44" i="1"/>
  <c r="I60" i="1" s="1"/>
  <c r="I45" i="1"/>
  <c r="F109" i="1"/>
  <c r="F118" i="1" s="1"/>
  <c r="G51" i="1"/>
  <c r="F52" i="1"/>
  <c r="I101" i="1"/>
  <c r="I111" i="1" s="1"/>
  <c r="I103" i="1"/>
  <c r="I65" i="1" l="1"/>
  <c r="I71" i="1" s="1"/>
  <c r="H65" i="1"/>
  <c r="F57" i="1"/>
  <c r="F72" i="1" s="1"/>
  <c r="F70" i="1"/>
  <c r="I67" i="1"/>
  <c r="G52" i="1"/>
  <c r="G109" i="1"/>
  <c r="G118" i="1" s="1"/>
  <c r="H51" i="1"/>
  <c r="J65" i="1"/>
  <c r="J73" i="1"/>
  <c r="J116" i="1"/>
  <c r="J111" i="1"/>
  <c r="J67" i="1"/>
  <c r="H52" i="1" l="1"/>
  <c r="H109" i="1"/>
  <c r="H118" i="1" s="1"/>
  <c r="I51" i="1"/>
  <c r="H71" i="1"/>
  <c r="H67" i="1"/>
  <c r="J71" i="1"/>
  <c r="C90" i="1"/>
  <c r="H73" i="1"/>
  <c r="G57" i="1"/>
  <c r="G72" i="1" s="1"/>
  <c r="G70" i="1"/>
  <c r="I73" i="1"/>
  <c r="H70" i="1" l="1"/>
  <c r="H57" i="1"/>
  <c r="H72" i="1" s="1"/>
  <c r="C91" i="1"/>
  <c r="D89" i="1" s="1"/>
  <c r="J51" i="1"/>
  <c r="I109" i="1"/>
  <c r="I118" i="1" s="1"/>
  <c r="I52" i="1"/>
  <c r="J114" i="1" l="1"/>
  <c r="J52" i="1"/>
  <c r="J109" i="1"/>
  <c r="C95" i="1"/>
  <c r="B121" i="1" s="1"/>
  <c r="I70" i="1"/>
  <c r="I57" i="1"/>
  <c r="I72" i="1" s="1"/>
  <c r="D90" i="1"/>
  <c r="J70" i="1" l="1"/>
  <c r="J57" i="1"/>
  <c r="J72" i="1" s="1"/>
  <c r="F119" i="1"/>
  <c r="H119" i="1"/>
  <c r="G119" i="1"/>
  <c r="I119" i="1"/>
  <c r="C119" i="1"/>
  <c r="E119" i="1"/>
  <c r="B119" i="1"/>
  <c r="D119" i="1"/>
  <c r="J118" i="1"/>
  <c r="B123" i="1" s="1"/>
  <c r="B122" i="1" l="1"/>
  <c r="J119" i="1"/>
</calcChain>
</file>

<file path=xl/sharedStrings.xml><?xml version="1.0" encoding="utf-8"?>
<sst xmlns="http://schemas.openxmlformats.org/spreadsheetml/2006/main" count="104" uniqueCount="95">
  <si>
    <t>Debt</t>
  </si>
  <si>
    <t>Equity</t>
  </si>
  <si>
    <t>Beta</t>
  </si>
  <si>
    <t>WACC</t>
  </si>
  <si>
    <t>RATIOS</t>
    <phoneticPr fontId="5" type="noConversion"/>
  </si>
  <si>
    <t>Current Ratio</t>
    <phoneticPr fontId="5" type="noConversion"/>
  </si>
  <si>
    <t>Debt to Equity</t>
    <phoneticPr fontId="5" type="noConversion"/>
  </si>
  <si>
    <t>ROA</t>
    <phoneticPr fontId="5" type="noConversion"/>
  </si>
  <si>
    <t>ROE</t>
    <phoneticPr fontId="5" type="noConversion"/>
  </si>
  <si>
    <t>Operating Profit</t>
    <phoneticPr fontId="5" type="noConversion"/>
  </si>
  <si>
    <t>Less: Depreciation</t>
    <phoneticPr fontId="5" type="noConversion"/>
  </si>
  <si>
    <t>Sub Total</t>
    <phoneticPr fontId="5" type="noConversion"/>
  </si>
  <si>
    <t>Tax on Operations</t>
    <phoneticPr fontId="5" type="noConversion"/>
  </si>
  <si>
    <t>Add Back: Depreciation</t>
    <phoneticPr fontId="5" type="noConversion"/>
  </si>
  <si>
    <t>Total Cash From Operations</t>
    <phoneticPr fontId="5" type="noConversion"/>
  </si>
  <si>
    <t>Cash Capital From Expenditures</t>
  </si>
  <si>
    <t>Equipment-Computers</t>
    <phoneticPr fontId="5" type="noConversion"/>
  </si>
  <si>
    <t>Book Value</t>
    <phoneticPr fontId="5" type="noConversion"/>
  </si>
  <si>
    <t>Changes in Working Capital</t>
    <phoneticPr fontId="5" type="noConversion"/>
  </si>
  <si>
    <t xml:space="preserve">Cash Inventory </t>
    <phoneticPr fontId="5" type="noConversion"/>
  </si>
  <si>
    <t>Income Tax Payable</t>
    <phoneticPr fontId="5" type="noConversion"/>
  </si>
  <si>
    <t>Liquidation of Working Capital</t>
    <phoneticPr fontId="5" type="noConversion"/>
  </si>
  <si>
    <t>Cash Inventory</t>
    <phoneticPr fontId="5" type="noConversion"/>
  </si>
  <si>
    <t>Income Tax Payable</t>
    <phoneticPr fontId="5" type="noConversion"/>
  </si>
  <si>
    <t>TOTAL FREE CASH FLOWS</t>
    <phoneticPr fontId="5" type="noConversion"/>
  </si>
  <si>
    <t>PV OF FREE CASH FLOWS</t>
    <phoneticPr fontId="5" type="noConversion"/>
  </si>
  <si>
    <t>WACC</t>
    <phoneticPr fontId="5" type="noConversion"/>
  </si>
  <si>
    <t>NPV</t>
    <phoneticPr fontId="5" type="noConversion"/>
  </si>
  <si>
    <t>IRR</t>
    <phoneticPr fontId="5" type="noConversion"/>
  </si>
  <si>
    <t>WACC</t>
    <phoneticPr fontId="5" type="noConversion"/>
  </si>
  <si>
    <t>NPV IRR</t>
    <phoneticPr fontId="5" type="noConversion"/>
  </si>
  <si>
    <t>Resources:</t>
  </si>
  <si>
    <t xml:space="preserve"> Beta</t>
  </si>
  <si>
    <t xml:space="preserve"> http://www.google.com/finance?q=LYV</t>
  </si>
  <si>
    <t xml:space="preserve"> S&amp;P Return</t>
  </si>
  <si>
    <t xml:space="preserve"> http://www.standardandpoors.com/indices/sp-500/en/us/?indexId=spusa-500-usduf--p-us-l--</t>
  </si>
  <si>
    <t xml:space="preserve"> Tbill</t>
  </si>
  <si>
    <t xml:space="preserve"> http://www.treasury.gov/resource-center/data-chart-center/interest-rates/Pages/TextView.aspx?data=yield</t>
  </si>
  <si>
    <t>Sales</t>
  </si>
  <si>
    <t>Music</t>
  </si>
  <si>
    <t>Sports</t>
  </si>
  <si>
    <t>Movies/Theatre</t>
  </si>
  <si>
    <t>Amusement</t>
  </si>
  <si>
    <t>Recreation</t>
  </si>
  <si>
    <t xml:space="preserve">Music </t>
  </si>
  <si>
    <t>% of Sales</t>
  </si>
  <si>
    <t>Growth %</t>
  </si>
  <si>
    <t>Sales Revenue</t>
  </si>
  <si>
    <t>Cosignment Revenue</t>
  </si>
  <si>
    <t>Cosignment Sales</t>
  </si>
  <si>
    <t>% of Cosignment Sales</t>
  </si>
  <si>
    <t>Total Revenue</t>
  </si>
  <si>
    <t>Operating Expenses</t>
  </si>
  <si>
    <t>Text expense</t>
  </si>
  <si>
    <t>% change</t>
  </si>
  <si>
    <t>Rent expense</t>
  </si>
  <si>
    <t>Selling &amp; Admin expense</t>
  </si>
  <si>
    <t>Utilities expense</t>
  </si>
  <si>
    <t>Operating Profit</t>
  </si>
  <si>
    <t>Total Operating Expenses</t>
  </si>
  <si>
    <t>Wages expense</t>
  </si>
  <si>
    <t>Bank Loan Interest</t>
  </si>
  <si>
    <t>Bank Loan</t>
  </si>
  <si>
    <t>Interest rate on bank loan</t>
  </si>
  <si>
    <t>Profit before taxes</t>
  </si>
  <si>
    <t>Taxes</t>
  </si>
  <si>
    <t>Tax Rate</t>
  </si>
  <si>
    <t>Net Profit after Taxes</t>
  </si>
  <si>
    <t>Income Statement</t>
  </si>
  <si>
    <t>Balance Sheet</t>
  </si>
  <si>
    <t>Assets</t>
  </si>
  <si>
    <t>Cash</t>
  </si>
  <si>
    <t>Total Current Assets</t>
  </si>
  <si>
    <t>Equipment- Computers</t>
  </si>
  <si>
    <t>Less: Accumulated Depreciation</t>
  </si>
  <si>
    <t>Total Assets</t>
  </si>
  <si>
    <t>Use R/E to purchase new computers</t>
  </si>
  <si>
    <t>Liabilities &amp; Equity</t>
  </si>
  <si>
    <t>Income Tax Payable</t>
  </si>
  <si>
    <t>Bank Loans</t>
  </si>
  <si>
    <t>Retained Earnings</t>
  </si>
  <si>
    <t>Total Liabilities and Equity</t>
  </si>
  <si>
    <t>Shareholder Contributions</t>
  </si>
  <si>
    <t>Projected return of T-Bills</t>
  </si>
  <si>
    <t>Projected return of S&amp;P 500</t>
  </si>
  <si>
    <t>Risk premium of S&amp;P 500</t>
  </si>
  <si>
    <t>Return of current equity holders</t>
  </si>
  <si>
    <t>Blended cost of debt</t>
  </si>
  <si>
    <t>Proportion</t>
  </si>
  <si>
    <t>Amount</t>
  </si>
  <si>
    <t>Interest rate</t>
  </si>
  <si>
    <t>Current cost of debt</t>
  </si>
  <si>
    <t>Tax rate</t>
  </si>
  <si>
    <t>Proportion of debt and equity</t>
  </si>
  <si>
    <t>TextMeTix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</si>
</sst>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left" indent="2"/>
    </xf>
    <xf numFmtId="164" fontId="0" fillId="0" borderId="1" xfId="1" applyNumberFormat="1" applyFont="1" applyBorder="1"/>
    <xf numFmtId="164" fontId="0" fillId="0" borderId="0" xfId="1" applyNumberFormat="1" applyFont="1" applyAlignment="1">
      <alignment horizontal="left" indent="1"/>
    </xf>
    <xf numFmtId="1" fontId="3" fillId="0" borderId="0" xfId="1" applyNumberFormat="1" applyFont="1"/>
    <xf numFmtId="1" fontId="0" fillId="0" borderId="1" xfId="1" applyNumberFormat="1" applyFont="1" applyBorder="1"/>
    <xf numFmtId="164" fontId="0" fillId="0" borderId="2" xfId="1" applyNumberFormat="1" applyFont="1" applyBorder="1" applyAlignment="1">
      <alignment horizontal="left" indent="2"/>
    </xf>
    <xf numFmtId="164" fontId="0" fillId="0" borderId="3" xfId="1" applyNumberFormat="1" applyFont="1" applyBorder="1" applyAlignment="1">
      <alignment horizontal="left" indent="2"/>
    </xf>
    <xf numFmtId="9" fontId="0" fillId="0" borderId="0" xfId="3" applyFont="1"/>
    <xf numFmtId="165" fontId="0" fillId="0" borderId="0" xfId="3" applyNumberFormat="1" applyFont="1"/>
    <xf numFmtId="165" fontId="0" fillId="0" borderId="0" xfId="1" applyNumberFormat="1" applyFont="1"/>
    <xf numFmtId="165" fontId="0" fillId="0" borderId="0" xfId="2" applyNumberFormat="1" applyFont="1"/>
    <xf numFmtId="165" fontId="0" fillId="0" borderId="4" xfId="2" applyNumberFormat="1" applyFont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2" fillId="0" borderId="0" xfId="1" applyNumberFormat="1" applyFont="1"/>
    <xf numFmtId="0" fontId="3" fillId="0" borderId="0" xfId="1" applyNumberFormat="1" applyFont="1"/>
    <xf numFmtId="164" fontId="1" fillId="0" borderId="0" xfId="1" applyNumberFormat="1" applyFont="1"/>
    <xf numFmtId="164" fontId="2" fillId="0" borderId="0" xfId="1" applyNumberFormat="1" applyFont="1" applyBorder="1" applyAlignment="1">
      <alignment horizontal="center"/>
    </xf>
    <xf numFmtId="166" fontId="0" fillId="0" borderId="0" xfId="3" applyNumberFormat="1" applyFont="1"/>
    <xf numFmtId="10" fontId="0" fillId="0" borderId="0" xfId="3" applyNumberFormat="1" applyFont="1"/>
    <xf numFmtId="9" fontId="0" fillId="0" borderId="0" xfId="3" applyNumberFormat="1" applyFont="1"/>
    <xf numFmtId="43" fontId="0" fillId="0" borderId="0" xfId="1" applyNumberFormat="1" applyFont="1"/>
    <xf numFmtId="164" fontId="4" fillId="0" borderId="0" xfId="1" applyNumberFormat="1" applyFont="1"/>
    <xf numFmtId="164" fontId="6" fillId="0" borderId="0" xfId="1" applyNumberFormat="1" applyFont="1"/>
    <xf numFmtId="10" fontId="0" fillId="0" borderId="0" xfId="1" applyNumberFormat="1" applyFont="1"/>
    <xf numFmtId="164" fontId="0" fillId="0" borderId="0" xfId="1" applyNumberFormat="1" applyFont="1" applyBorder="1" applyAlignment="1">
      <alignment horizontal="left" indent="2"/>
    </xf>
    <xf numFmtId="10" fontId="4" fillId="0" borderId="0" xfId="1" applyNumberFormat="1" applyFont="1"/>
    <xf numFmtId="164" fontId="6" fillId="0" borderId="12" xfId="1" applyNumberFormat="1" applyFont="1" applyBorder="1"/>
    <xf numFmtId="164" fontId="6" fillId="0" borderId="5" xfId="1" applyNumberFormat="1" applyFont="1" applyBorder="1"/>
    <xf numFmtId="10" fontId="0" fillId="0" borderId="5" xfId="3" applyNumberFormat="1" applyFont="1" applyBorder="1"/>
    <xf numFmtId="164" fontId="6" fillId="0" borderId="16" xfId="1" applyNumberFormat="1" applyFont="1" applyBorder="1"/>
    <xf numFmtId="164" fontId="2" fillId="0" borderId="16" xfId="1" applyNumberFormat="1" applyFont="1" applyBorder="1"/>
    <xf numFmtId="10" fontId="2" fillId="0" borderId="16" xfId="1" applyNumberFormat="1" applyFont="1" applyBorder="1"/>
    <xf numFmtId="164" fontId="2" fillId="0" borderId="11" xfId="1" applyNumberFormat="1" applyFont="1" applyBorder="1"/>
    <xf numFmtId="164" fontId="0" fillId="0" borderId="11" xfId="1" applyNumberFormat="1" applyFont="1" applyBorder="1"/>
    <xf numFmtId="0" fontId="7" fillId="0" borderId="0" xfId="0" applyFont="1"/>
    <xf numFmtId="0" fontId="8" fillId="0" borderId="0" xfId="0" applyFont="1"/>
    <xf numFmtId="164" fontId="4" fillId="0" borderId="6" xfId="0" applyNumberFormat="1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2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 wrapText="1"/>
    </xf>
    <xf numFmtId="164" fontId="4" fillId="0" borderId="7" xfId="0" applyNumberFormat="1" applyFont="1" applyBorder="1"/>
    <xf numFmtId="164" fontId="4" fillId="0" borderId="0" xfId="0" applyNumberFormat="1" applyFont="1"/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31.28515625" style="1" bestFit="1" customWidth="1"/>
    <col min="2" max="2" width="13.42578125" style="1" customWidth="1"/>
    <col min="3" max="3" width="18.28515625" style="1" customWidth="1"/>
    <col min="4" max="4" width="14" style="1" customWidth="1"/>
    <col min="5" max="5" width="15" style="1" customWidth="1"/>
    <col min="6" max="10" width="15.85546875" style="1" customWidth="1"/>
    <col min="11" max="11" width="11" style="1" bestFit="1" customWidth="1"/>
    <col min="12" max="12" width="10.7109375" style="1" bestFit="1" customWidth="1"/>
    <col min="13" max="16384" width="8.85546875" style="1"/>
  </cols>
  <sheetData>
    <row r="1" spans="1:11" x14ac:dyDescent="0.25">
      <c r="A1" s="25" t="s">
        <v>94</v>
      </c>
    </row>
    <row r="2" spans="1:11" x14ac:dyDescent="0.25">
      <c r="A2" s="3" t="s">
        <v>38</v>
      </c>
      <c r="B2" s="3"/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>
        <v>2019</v>
      </c>
      <c r="K2" s="1" t="s">
        <v>46</v>
      </c>
    </row>
    <row r="3" spans="1:11" x14ac:dyDescent="0.25">
      <c r="A3" s="7" t="s">
        <v>44</v>
      </c>
      <c r="B3" s="27"/>
      <c r="C3" s="1">
        <v>400000</v>
      </c>
      <c r="D3" s="1">
        <f>C3*(1+K3)</f>
        <v>420000</v>
      </c>
      <c r="E3" s="1">
        <f>D3*(1+K3)</f>
        <v>441000</v>
      </c>
      <c r="F3" s="1">
        <f>E3*(1+K3)</f>
        <v>463050</v>
      </c>
      <c r="G3" s="1">
        <f t="shared" ref="G3:G7" si="0">F3*(1+N3)</f>
        <v>463050</v>
      </c>
      <c r="H3" s="1">
        <f t="shared" ref="H3:H7" si="1">G3*(1+N3)</f>
        <v>463050</v>
      </c>
      <c r="I3" s="1">
        <f t="shared" ref="I3:I7" si="2">H3*(1+N3)</f>
        <v>463050</v>
      </c>
      <c r="J3" s="1">
        <f t="shared" ref="J3:J7" si="3">I3*(1+Q3)</f>
        <v>463050</v>
      </c>
      <c r="K3" s="9">
        <v>0.05</v>
      </c>
    </row>
    <row r="4" spans="1:11" x14ac:dyDescent="0.25">
      <c r="A4" s="8" t="s">
        <v>40</v>
      </c>
      <c r="B4" s="27"/>
      <c r="C4" s="1">
        <v>720000</v>
      </c>
      <c r="D4" s="1">
        <f>C4*(1+K4)</f>
        <v>777600</v>
      </c>
      <c r="E4" s="1">
        <f>D4*(1+K4)</f>
        <v>839808</v>
      </c>
      <c r="F4" s="1">
        <f>E4*(1+K4)</f>
        <v>906992.64000000001</v>
      </c>
      <c r="G4" s="1">
        <f t="shared" si="0"/>
        <v>906992.64000000001</v>
      </c>
      <c r="H4" s="1">
        <f t="shared" si="1"/>
        <v>906992.64000000001</v>
      </c>
      <c r="I4" s="1">
        <f t="shared" si="2"/>
        <v>906992.64000000001</v>
      </c>
      <c r="J4" s="1">
        <f t="shared" si="3"/>
        <v>906992.64000000001</v>
      </c>
      <c r="K4" s="9">
        <v>0.08</v>
      </c>
    </row>
    <row r="5" spans="1:11" x14ac:dyDescent="0.25">
      <c r="A5" s="8" t="s">
        <v>41</v>
      </c>
      <c r="B5" s="27"/>
      <c r="C5" s="1">
        <v>150000</v>
      </c>
      <c r="D5" s="1">
        <f>C5*(1+K5)</f>
        <v>154500</v>
      </c>
      <c r="E5" s="1">
        <f>D5*(1+K5)</f>
        <v>159135</v>
      </c>
      <c r="F5" s="1">
        <f>E5*(1+K5)</f>
        <v>163909.05000000002</v>
      </c>
      <c r="G5" s="1">
        <f t="shared" si="0"/>
        <v>163909.05000000002</v>
      </c>
      <c r="H5" s="1">
        <f t="shared" si="1"/>
        <v>163909.05000000002</v>
      </c>
      <c r="I5" s="1">
        <f t="shared" si="2"/>
        <v>163909.05000000002</v>
      </c>
      <c r="J5" s="1">
        <f t="shared" si="3"/>
        <v>163909.05000000002</v>
      </c>
      <c r="K5" s="9">
        <v>0.03</v>
      </c>
    </row>
    <row r="6" spans="1:11" x14ac:dyDescent="0.25">
      <c r="A6" s="8" t="s">
        <v>42</v>
      </c>
      <c r="B6" s="27"/>
      <c r="C6" s="1">
        <v>17000</v>
      </c>
      <c r="D6" s="1">
        <f>C6*(1+K6)</f>
        <v>17340</v>
      </c>
      <c r="E6" s="1">
        <f>D6*(1+K6)</f>
        <v>17686.8</v>
      </c>
      <c r="F6" s="1">
        <f>E6*(1+K6)</f>
        <v>18040.536</v>
      </c>
      <c r="G6" s="1">
        <f t="shared" si="0"/>
        <v>18040.536</v>
      </c>
      <c r="H6" s="1">
        <f t="shared" si="1"/>
        <v>18040.536</v>
      </c>
      <c r="I6" s="1">
        <f t="shared" si="2"/>
        <v>18040.536</v>
      </c>
      <c r="J6" s="1">
        <f t="shared" si="3"/>
        <v>18040.536</v>
      </c>
      <c r="K6" s="9">
        <v>0.02</v>
      </c>
    </row>
    <row r="7" spans="1:11" x14ac:dyDescent="0.25">
      <c r="A7" s="8" t="s">
        <v>43</v>
      </c>
      <c r="B7" s="27"/>
      <c r="C7" s="1">
        <v>12000</v>
      </c>
      <c r="D7" s="1">
        <f>C7*(1+K7)</f>
        <v>12120</v>
      </c>
      <c r="E7" s="1">
        <f>D7*(1+K7)</f>
        <v>12241.2</v>
      </c>
      <c r="F7" s="1">
        <f>E7*(1+K7)</f>
        <v>12363.612000000001</v>
      </c>
      <c r="G7" s="1">
        <f t="shared" si="0"/>
        <v>12363.612000000001</v>
      </c>
      <c r="H7" s="1">
        <f t="shared" si="1"/>
        <v>12363.612000000001</v>
      </c>
      <c r="I7" s="1">
        <f t="shared" si="2"/>
        <v>12363.612000000001</v>
      </c>
      <c r="J7" s="1">
        <f t="shared" si="3"/>
        <v>12363.612000000001</v>
      </c>
      <c r="K7" s="9">
        <v>0.01</v>
      </c>
    </row>
    <row r="9" spans="1:11" x14ac:dyDescent="0.25">
      <c r="A9" s="1" t="s">
        <v>45</v>
      </c>
      <c r="C9" s="9">
        <v>0.1</v>
      </c>
    </row>
    <row r="10" spans="1:11" x14ac:dyDescent="0.25">
      <c r="C10" s="9"/>
    </row>
    <row r="11" spans="1:11" x14ac:dyDescent="0.25">
      <c r="A11" s="1" t="s">
        <v>49</v>
      </c>
      <c r="C11" s="10">
        <v>10000</v>
      </c>
      <c r="D11" s="11">
        <f>C11*(1+K11)</f>
        <v>10500</v>
      </c>
      <c r="E11" s="1">
        <f>D11*(1+K11)</f>
        <v>11025</v>
      </c>
      <c r="F11" s="1">
        <f>E11*(1+K11)</f>
        <v>11576.25</v>
      </c>
      <c r="G11" s="11">
        <f t="shared" ref="G11" si="4">F11*(1+N11)</f>
        <v>11576.25</v>
      </c>
      <c r="H11" s="1">
        <f t="shared" ref="H11" si="5">G11*(1+N11)</f>
        <v>11576.25</v>
      </c>
      <c r="I11" s="1">
        <f t="shared" ref="I11" si="6">H11*(1+N11)</f>
        <v>11576.25</v>
      </c>
      <c r="J11" s="11">
        <f t="shared" ref="J11" si="7">I11*(1+Q11)</f>
        <v>11576.25</v>
      </c>
      <c r="K11" s="9">
        <v>0.05</v>
      </c>
    </row>
    <row r="12" spans="1:11" x14ac:dyDescent="0.25">
      <c r="C12" s="9"/>
    </row>
    <row r="13" spans="1:11" x14ac:dyDescent="0.25">
      <c r="A13" s="1" t="s">
        <v>50</v>
      </c>
      <c r="C13" s="9">
        <v>7.0000000000000007E-2</v>
      </c>
    </row>
    <row r="15" spans="1:11" x14ac:dyDescent="0.25">
      <c r="A15" s="1" t="s">
        <v>62</v>
      </c>
      <c r="C15" s="1">
        <v>50000</v>
      </c>
      <c r="E15" s="48" t="s">
        <v>76</v>
      </c>
    </row>
    <row r="16" spans="1:11" x14ac:dyDescent="0.25">
      <c r="A16" s="1" t="s">
        <v>63</v>
      </c>
      <c r="C16" s="20">
        <v>0.105</v>
      </c>
      <c r="E16" s="48"/>
    </row>
    <row r="17" spans="1:10" x14ac:dyDescent="0.25">
      <c r="E17" s="48"/>
    </row>
    <row r="18" spans="1:10" x14ac:dyDescent="0.25">
      <c r="A18" s="1" t="s">
        <v>66</v>
      </c>
      <c r="C18" s="9">
        <v>0.12</v>
      </c>
    </row>
    <row r="21" spans="1:10" x14ac:dyDescent="0.25">
      <c r="C21" s="47" t="s">
        <v>68</v>
      </c>
      <c r="D21" s="47"/>
      <c r="E21" s="47"/>
      <c r="F21" s="47"/>
      <c r="G21" s="19"/>
      <c r="H21" s="19"/>
      <c r="I21" s="19"/>
      <c r="J21" s="19"/>
    </row>
    <row r="22" spans="1:10" x14ac:dyDescent="0.25">
      <c r="C22" s="5">
        <v>2012</v>
      </c>
      <c r="D22" s="5">
        <v>2013</v>
      </c>
      <c r="E22" s="5">
        <v>2014</v>
      </c>
      <c r="F22" s="5">
        <v>2015</v>
      </c>
      <c r="G22" s="5">
        <v>2016</v>
      </c>
      <c r="H22" s="5">
        <v>2017</v>
      </c>
      <c r="I22" s="5">
        <v>2018</v>
      </c>
      <c r="J22" s="5">
        <v>2019</v>
      </c>
    </row>
    <row r="23" spans="1:10" x14ac:dyDescent="0.25">
      <c r="A23" s="16" t="s">
        <v>47</v>
      </c>
      <c r="B23" s="16"/>
    </row>
    <row r="24" spans="1:10" x14ac:dyDescent="0.25">
      <c r="A24" s="2" t="s">
        <v>39</v>
      </c>
      <c r="B24" s="2"/>
      <c r="C24" s="12">
        <f>C3*$C$9</f>
        <v>40000</v>
      </c>
      <c r="D24" s="12">
        <f t="shared" ref="D24:E24" si="8">D3*$C$9</f>
        <v>42000</v>
      </c>
      <c r="E24" s="12">
        <f t="shared" si="8"/>
        <v>44100</v>
      </c>
      <c r="F24" s="12">
        <f>F3*$C$9</f>
        <v>46305</v>
      </c>
      <c r="G24" s="12">
        <f>G3*$C$9</f>
        <v>46305</v>
      </c>
      <c r="H24" s="12">
        <f t="shared" ref="H24:I24" si="9">H3*$C$9</f>
        <v>46305</v>
      </c>
      <c r="I24" s="12">
        <f t="shared" si="9"/>
        <v>46305</v>
      </c>
      <c r="J24" s="12">
        <f>J3*$C$9</f>
        <v>46305</v>
      </c>
    </row>
    <row r="25" spans="1:10" x14ac:dyDescent="0.25">
      <c r="A25" s="2" t="s">
        <v>40</v>
      </c>
      <c r="B25" s="2"/>
      <c r="C25" s="1">
        <f t="shared" ref="C25:F25" si="10">C4*$C$9</f>
        <v>72000</v>
      </c>
      <c r="D25" s="1">
        <f t="shared" si="10"/>
        <v>77760</v>
      </c>
      <c r="E25" s="1">
        <f t="shared" si="10"/>
        <v>83980.800000000003</v>
      </c>
      <c r="F25" s="1">
        <f t="shared" si="10"/>
        <v>90699.26400000001</v>
      </c>
      <c r="G25" s="1">
        <f t="shared" ref="G25:J25" si="11">G4*$C$9</f>
        <v>90699.26400000001</v>
      </c>
      <c r="H25" s="1">
        <f t="shared" si="11"/>
        <v>90699.26400000001</v>
      </c>
      <c r="I25" s="1">
        <f t="shared" si="11"/>
        <v>90699.26400000001</v>
      </c>
      <c r="J25" s="1">
        <f t="shared" si="11"/>
        <v>90699.26400000001</v>
      </c>
    </row>
    <row r="26" spans="1:10" x14ac:dyDescent="0.25">
      <c r="A26" s="2" t="s">
        <v>41</v>
      </c>
      <c r="B26" s="2"/>
      <c r="C26" s="1">
        <f t="shared" ref="C26:F26" si="12">C5*$C$9</f>
        <v>15000</v>
      </c>
      <c r="D26" s="1">
        <f t="shared" si="12"/>
        <v>15450</v>
      </c>
      <c r="E26" s="1">
        <f t="shared" si="12"/>
        <v>15913.5</v>
      </c>
      <c r="F26" s="1">
        <f t="shared" si="12"/>
        <v>16390.905000000002</v>
      </c>
      <c r="G26" s="1">
        <f t="shared" ref="G26:J26" si="13">G5*$C$9</f>
        <v>16390.905000000002</v>
      </c>
      <c r="H26" s="1">
        <f t="shared" si="13"/>
        <v>16390.905000000002</v>
      </c>
      <c r="I26" s="1">
        <f t="shared" si="13"/>
        <v>16390.905000000002</v>
      </c>
      <c r="J26" s="1">
        <f t="shared" si="13"/>
        <v>16390.905000000002</v>
      </c>
    </row>
    <row r="27" spans="1:10" x14ac:dyDescent="0.25">
      <c r="A27" s="2" t="s">
        <v>42</v>
      </c>
      <c r="B27" s="2"/>
      <c r="C27" s="1">
        <f t="shared" ref="C27:F27" si="14">C6*$C$9</f>
        <v>1700</v>
      </c>
      <c r="D27" s="1">
        <f t="shared" si="14"/>
        <v>1734</v>
      </c>
      <c r="E27" s="1">
        <f t="shared" si="14"/>
        <v>1768.68</v>
      </c>
      <c r="F27" s="1">
        <f t="shared" si="14"/>
        <v>1804.0536000000002</v>
      </c>
      <c r="G27" s="1">
        <f t="shared" ref="G27:J27" si="15">G6*$C$9</f>
        <v>1804.0536000000002</v>
      </c>
      <c r="H27" s="1">
        <f t="shared" si="15"/>
        <v>1804.0536000000002</v>
      </c>
      <c r="I27" s="1">
        <f t="shared" si="15"/>
        <v>1804.0536000000002</v>
      </c>
      <c r="J27" s="1">
        <f t="shared" si="15"/>
        <v>1804.0536000000002</v>
      </c>
    </row>
    <row r="28" spans="1:10" x14ac:dyDescent="0.25">
      <c r="A28" s="2" t="s">
        <v>43</v>
      </c>
      <c r="B28" s="2"/>
      <c r="C28" s="1">
        <f t="shared" ref="C28:F28" si="16">C7*$C$9</f>
        <v>1200</v>
      </c>
      <c r="D28" s="1">
        <f t="shared" si="16"/>
        <v>1212</v>
      </c>
      <c r="E28" s="1">
        <f t="shared" si="16"/>
        <v>1224.1200000000001</v>
      </c>
      <c r="F28" s="1">
        <f t="shared" si="16"/>
        <v>1236.3612000000003</v>
      </c>
      <c r="G28" s="1">
        <f t="shared" ref="G28:J28" si="17">G7*$C$9</f>
        <v>1236.3612000000003</v>
      </c>
      <c r="H28" s="1">
        <f t="shared" si="17"/>
        <v>1236.3612000000003</v>
      </c>
      <c r="I28" s="1">
        <f t="shared" si="17"/>
        <v>1236.3612000000003</v>
      </c>
      <c r="J28" s="1">
        <f t="shared" si="17"/>
        <v>1236.3612000000003</v>
      </c>
    </row>
    <row r="29" spans="1:10" x14ac:dyDescent="0.25">
      <c r="A29" s="1" t="s">
        <v>48</v>
      </c>
      <c r="C29" s="1">
        <f>C11*$C$13</f>
        <v>700.00000000000011</v>
      </c>
      <c r="D29" s="1">
        <f t="shared" ref="D29:F29" si="18">D11*$C$13</f>
        <v>735.00000000000011</v>
      </c>
      <c r="E29" s="1">
        <f t="shared" si="18"/>
        <v>771.75000000000011</v>
      </c>
      <c r="F29" s="1">
        <f t="shared" si="18"/>
        <v>810.33750000000009</v>
      </c>
      <c r="G29" s="1">
        <f>K11*$C$13</f>
        <v>3.5000000000000005E-3</v>
      </c>
      <c r="H29" s="1">
        <f t="shared" ref="H29:J29" si="19">H11*$C$13</f>
        <v>810.33750000000009</v>
      </c>
      <c r="I29" s="1">
        <f t="shared" si="19"/>
        <v>810.33750000000009</v>
      </c>
      <c r="J29" s="1">
        <f t="shared" si="19"/>
        <v>810.33750000000009</v>
      </c>
    </row>
    <row r="30" spans="1:10" ht="15.75" thickBot="1" x14ac:dyDescent="0.3">
      <c r="A30" s="16" t="s">
        <v>51</v>
      </c>
      <c r="B30" s="16"/>
      <c r="C30" s="13">
        <f>SUM(C24:C29)</f>
        <v>130600</v>
      </c>
      <c r="D30" s="13">
        <f t="shared" ref="D30:F30" si="20">SUM(D24:D29)</f>
        <v>138891</v>
      </c>
      <c r="E30" s="13">
        <f t="shared" si="20"/>
        <v>147758.84999999998</v>
      </c>
      <c r="F30" s="13">
        <f t="shared" si="20"/>
        <v>157245.92130000005</v>
      </c>
      <c r="G30" s="13">
        <f>SUM(G24:G29)</f>
        <v>156435.58730000004</v>
      </c>
      <c r="H30" s="13">
        <f t="shared" ref="H30:J30" si="21">SUM(H24:H29)</f>
        <v>157245.92130000005</v>
      </c>
      <c r="I30" s="13">
        <f t="shared" si="21"/>
        <v>157245.92130000005</v>
      </c>
      <c r="J30" s="13">
        <f t="shared" si="21"/>
        <v>157245.92130000005</v>
      </c>
    </row>
    <row r="31" spans="1:10" ht="15.75" thickTop="1" x14ac:dyDescent="0.25"/>
    <row r="32" spans="1:10" x14ac:dyDescent="0.25">
      <c r="A32" s="16" t="s">
        <v>52</v>
      </c>
      <c r="B32" s="16"/>
    </row>
    <row r="33" spans="1:12" x14ac:dyDescent="0.25">
      <c r="A33" s="2" t="s">
        <v>53</v>
      </c>
      <c r="B33" s="2"/>
      <c r="C33" s="1">
        <v>10000</v>
      </c>
      <c r="D33" s="1">
        <f>C33*(1+K33)</f>
        <v>10200</v>
      </c>
      <c r="E33" s="1">
        <f>D33*(1+K33)</f>
        <v>10404</v>
      </c>
      <c r="F33" s="1">
        <f>E33*(1+K33)</f>
        <v>10612.08</v>
      </c>
      <c r="G33" s="1">
        <f t="shared" ref="G33" si="22">F33*(1+N33)</f>
        <v>10612.08</v>
      </c>
      <c r="H33" s="1">
        <f t="shared" ref="H33" si="23">G33*(1+N33)</f>
        <v>10612.08</v>
      </c>
      <c r="I33" s="1">
        <f t="shared" ref="I33" si="24">H33*(1+N33)</f>
        <v>10612.08</v>
      </c>
      <c r="J33" s="1">
        <f t="shared" ref="J33" si="25">I33*(1+Q33)</f>
        <v>10612.08</v>
      </c>
      <c r="K33" s="9">
        <v>0.02</v>
      </c>
      <c r="L33" s="1" t="s">
        <v>54</v>
      </c>
    </row>
    <row r="34" spans="1:12" x14ac:dyDescent="0.25">
      <c r="A34" s="2" t="s">
        <v>55</v>
      </c>
      <c r="B34" s="2"/>
      <c r="C34" s="1">
        <v>12000</v>
      </c>
      <c r="D34" s="1">
        <v>12000</v>
      </c>
      <c r="E34" s="1">
        <v>12000</v>
      </c>
      <c r="F34" s="1">
        <v>12000</v>
      </c>
      <c r="G34" s="1">
        <v>12000</v>
      </c>
      <c r="H34" s="1">
        <v>12000</v>
      </c>
      <c r="I34" s="1">
        <v>12000</v>
      </c>
      <c r="J34" s="1">
        <v>12000</v>
      </c>
    </row>
    <row r="35" spans="1:12" x14ac:dyDescent="0.25">
      <c r="A35" s="2" t="s">
        <v>57</v>
      </c>
      <c r="B35" s="2"/>
      <c r="C35" s="1">
        <f>300*12</f>
        <v>3600</v>
      </c>
      <c r="D35" s="1">
        <f t="shared" ref="D35:J35" si="26">300*12</f>
        <v>3600</v>
      </c>
      <c r="E35" s="1">
        <f t="shared" si="26"/>
        <v>3600</v>
      </c>
      <c r="F35" s="1">
        <f t="shared" si="26"/>
        <v>3600</v>
      </c>
      <c r="G35" s="1">
        <f t="shared" si="26"/>
        <v>3600</v>
      </c>
      <c r="H35" s="1">
        <f t="shared" si="26"/>
        <v>3600</v>
      </c>
      <c r="I35" s="1">
        <f t="shared" si="26"/>
        <v>3600</v>
      </c>
      <c r="J35" s="1">
        <f t="shared" si="26"/>
        <v>3600</v>
      </c>
    </row>
    <row r="36" spans="1:12" x14ac:dyDescent="0.25">
      <c r="A36" s="2" t="s">
        <v>56</v>
      </c>
      <c r="B36" s="2"/>
      <c r="C36" s="15">
        <v>5000</v>
      </c>
      <c r="D36" s="15">
        <v>5000</v>
      </c>
      <c r="E36" s="15">
        <v>5000</v>
      </c>
      <c r="F36" s="15">
        <v>5000</v>
      </c>
      <c r="G36" s="15">
        <v>5000</v>
      </c>
      <c r="H36" s="15">
        <v>5000</v>
      </c>
      <c r="I36" s="15">
        <v>5000</v>
      </c>
      <c r="J36" s="15">
        <v>5000</v>
      </c>
    </row>
    <row r="37" spans="1:12" x14ac:dyDescent="0.25">
      <c r="A37" s="2" t="s">
        <v>60</v>
      </c>
      <c r="B37" s="2"/>
      <c r="C37" s="15">
        <v>90000</v>
      </c>
      <c r="D37" s="1">
        <f>C37*(1+K37)</f>
        <v>91800</v>
      </c>
      <c r="E37" s="1">
        <f>D37*(1+K37)</f>
        <v>93636</v>
      </c>
      <c r="F37" s="1">
        <f>E37*(1+K37)</f>
        <v>95508.72</v>
      </c>
      <c r="G37" s="1">
        <f t="shared" ref="G37" si="27">F37*(1+N37)</f>
        <v>95508.72</v>
      </c>
      <c r="H37" s="1">
        <f t="shared" ref="H37" si="28">G37*(1+N37)</f>
        <v>95508.72</v>
      </c>
      <c r="I37" s="1">
        <f t="shared" ref="I37" si="29">H37*(1+N37)</f>
        <v>95508.72</v>
      </c>
      <c r="J37" s="1">
        <f t="shared" ref="J37" si="30">I37*(1+Q37)</f>
        <v>95508.72</v>
      </c>
      <c r="K37" s="9">
        <v>0.02</v>
      </c>
      <c r="L37" s="1" t="s">
        <v>54</v>
      </c>
    </row>
    <row r="38" spans="1:12" x14ac:dyDescent="0.25">
      <c r="A38" s="1" t="s">
        <v>59</v>
      </c>
      <c r="C38" s="1">
        <f>SUM(C33:C37)</f>
        <v>120600</v>
      </c>
      <c r="D38" s="1">
        <f t="shared" ref="D38:F38" si="31">SUM(D33:D37)</f>
        <v>122600</v>
      </c>
      <c r="E38" s="1">
        <f t="shared" si="31"/>
        <v>124640</v>
      </c>
      <c r="F38" s="1">
        <f t="shared" si="31"/>
        <v>126720.8</v>
      </c>
      <c r="G38" s="1">
        <f t="shared" ref="G38:J38" si="32">SUM(G33:G37)</f>
        <v>126720.8</v>
      </c>
      <c r="H38" s="1">
        <f t="shared" si="32"/>
        <v>126720.8</v>
      </c>
      <c r="I38" s="1">
        <f t="shared" si="32"/>
        <v>126720.8</v>
      </c>
      <c r="J38" s="1">
        <f t="shared" si="32"/>
        <v>126720.8</v>
      </c>
    </row>
    <row r="39" spans="1:12" ht="15.75" thickBot="1" x14ac:dyDescent="0.3">
      <c r="A39" s="16" t="s">
        <v>58</v>
      </c>
      <c r="B39" s="16"/>
      <c r="C39" s="14">
        <f>C30-C38</f>
        <v>10000</v>
      </c>
      <c r="D39" s="14">
        <f t="shared" ref="D39:F39" si="33">D30-D38</f>
        <v>16291</v>
      </c>
      <c r="E39" s="14">
        <f t="shared" si="33"/>
        <v>23118.849999999977</v>
      </c>
      <c r="F39" s="14">
        <f t="shared" si="33"/>
        <v>30525.121300000043</v>
      </c>
      <c r="G39" s="14">
        <f t="shared" ref="G39:J39" si="34">G30-G38</f>
        <v>29714.78730000004</v>
      </c>
      <c r="H39" s="14">
        <f t="shared" si="34"/>
        <v>30525.121300000043</v>
      </c>
      <c r="I39" s="14">
        <f t="shared" si="34"/>
        <v>30525.121300000043</v>
      </c>
      <c r="J39" s="14">
        <f t="shared" si="34"/>
        <v>30525.121300000043</v>
      </c>
    </row>
    <row r="40" spans="1:12" ht="15.75" thickTop="1" x14ac:dyDescent="0.25"/>
    <row r="41" spans="1:12" x14ac:dyDescent="0.25">
      <c r="A41" s="16" t="s">
        <v>61</v>
      </c>
      <c r="B41" s="16"/>
      <c r="C41" s="1">
        <f>$C$15*$C$16</f>
        <v>5250</v>
      </c>
      <c r="D41" s="1">
        <f t="shared" ref="D41:J41" si="35">$C$15*$C$16</f>
        <v>5250</v>
      </c>
      <c r="E41" s="1">
        <f t="shared" si="35"/>
        <v>5250</v>
      </c>
      <c r="F41" s="1">
        <f t="shared" si="35"/>
        <v>5250</v>
      </c>
      <c r="G41" s="1">
        <f>$C$15*$C$16</f>
        <v>5250</v>
      </c>
      <c r="H41" s="1">
        <f t="shared" si="35"/>
        <v>5250</v>
      </c>
      <c r="I41" s="1">
        <f t="shared" si="35"/>
        <v>5250</v>
      </c>
      <c r="J41" s="1">
        <f t="shared" si="35"/>
        <v>5250</v>
      </c>
    </row>
    <row r="43" spans="1:12" x14ac:dyDescent="0.25">
      <c r="A43" s="16" t="s">
        <v>64</v>
      </c>
      <c r="B43" s="16"/>
      <c r="C43" s="1">
        <f>C39-C41</f>
        <v>4750</v>
      </c>
      <c r="D43" s="1">
        <f t="shared" ref="D43:F43" si="36">D39-D41</f>
        <v>11041</v>
      </c>
      <c r="E43" s="1">
        <f t="shared" si="36"/>
        <v>17868.849999999977</v>
      </c>
      <c r="F43" s="1">
        <f t="shared" si="36"/>
        <v>25275.121300000043</v>
      </c>
      <c r="G43" s="1">
        <f>G39-G41</f>
        <v>24464.78730000004</v>
      </c>
      <c r="H43" s="1">
        <f t="shared" ref="H43:J43" si="37">H39-H41</f>
        <v>25275.121300000043</v>
      </c>
      <c r="I43" s="1">
        <f t="shared" si="37"/>
        <v>25275.121300000043</v>
      </c>
      <c r="J43" s="1">
        <f t="shared" si="37"/>
        <v>25275.121300000043</v>
      </c>
    </row>
    <row r="44" spans="1:12" x14ac:dyDescent="0.25">
      <c r="A44" s="1" t="s">
        <v>65</v>
      </c>
      <c r="C44" s="1">
        <f>C43*$C$18</f>
        <v>570</v>
      </c>
      <c r="D44" s="1">
        <f t="shared" ref="D44:F44" si="38">D43*$C$18</f>
        <v>1324.9199999999998</v>
      </c>
      <c r="E44" s="1">
        <f t="shared" si="38"/>
        <v>2144.261999999997</v>
      </c>
      <c r="F44" s="1">
        <f t="shared" si="38"/>
        <v>3033.0145560000051</v>
      </c>
      <c r="G44" s="1">
        <f>G43*$C$18</f>
        <v>2935.7744760000046</v>
      </c>
      <c r="H44" s="1">
        <f t="shared" ref="H44:J44" si="39">H43*$C$18</f>
        <v>3033.0145560000051</v>
      </c>
      <c r="I44" s="1">
        <f t="shared" si="39"/>
        <v>3033.0145560000051</v>
      </c>
      <c r="J44" s="1">
        <f t="shared" si="39"/>
        <v>3033.0145560000051</v>
      </c>
    </row>
    <row r="45" spans="1:12" x14ac:dyDescent="0.25">
      <c r="A45" s="16" t="s">
        <v>67</v>
      </c>
      <c r="B45" s="16"/>
      <c r="C45" s="1">
        <f>C43-C44</f>
        <v>4180</v>
      </c>
      <c r="D45" s="1">
        <f t="shared" ref="D45:F45" si="40">D43-D44</f>
        <v>9716.08</v>
      </c>
      <c r="E45" s="1">
        <f t="shared" si="40"/>
        <v>15724.58799999998</v>
      </c>
      <c r="F45" s="1">
        <f t="shared" si="40"/>
        <v>22242.106744000037</v>
      </c>
      <c r="G45" s="1">
        <f>G43-G44</f>
        <v>21529.012824000034</v>
      </c>
      <c r="H45" s="1">
        <f t="shared" ref="H45:J45" si="41">H43-H44</f>
        <v>22242.106744000037</v>
      </c>
      <c r="I45" s="1">
        <f t="shared" si="41"/>
        <v>22242.106744000037</v>
      </c>
      <c r="J45" s="1">
        <f t="shared" si="41"/>
        <v>22242.106744000037</v>
      </c>
    </row>
    <row r="48" spans="1:12" x14ac:dyDescent="0.25">
      <c r="C48" s="47" t="s">
        <v>69</v>
      </c>
      <c r="D48" s="47"/>
      <c r="E48" s="47"/>
      <c r="F48" s="47"/>
      <c r="G48" s="19"/>
      <c r="H48" s="19"/>
      <c r="I48" s="19"/>
      <c r="J48" s="19"/>
    </row>
    <row r="49" spans="1:10" x14ac:dyDescent="0.25">
      <c r="C49" s="17">
        <v>2012</v>
      </c>
      <c r="D49" s="17">
        <v>2013</v>
      </c>
      <c r="E49" s="17">
        <v>2014</v>
      </c>
      <c r="F49" s="17">
        <v>2015</v>
      </c>
      <c r="G49" s="17">
        <v>2016</v>
      </c>
      <c r="H49" s="17">
        <v>2017</v>
      </c>
      <c r="I49" s="17">
        <v>2018</v>
      </c>
      <c r="J49" s="17">
        <v>2019</v>
      </c>
    </row>
    <row r="50" spans="1:10" x14ac:dyDescent="0.25">
      <c r="A50" s="16" t="s">
        <v>70</v>
      </c>
      <c r="B50" s="16"/>
    </row>
    <row r="51" spans="1:10" x14ac:dyDescent="0.25">
      <c r="A51" s="4" t="s">
        <v>71</v>
      </c>
      <c r="B51" s="4"/>
      <c r="C51" s="1">
        <v>60000</v>
      </c>
      <c r="D51" s="1">
        <f>C51+C65</f>
        <v>64180</v>
      </c>
      <c r="E51" s="1">
        <f>D51+D65</f>
        <v>73896.08</v>
      </c>
      <c r="F51" s="1">
        <f>E51+E65-F54</f>
        <v>84620.667999999976</v>
      </c>
      <c r="G51" s="1">
        <f t="shared" ref="G51:H51" si="42">F51+F65</f>
        <v>106862.77474400001</v>
      </c>
      <c r="H51" s="1">
        <f t="shared" si="42"/>
        <v>128391.78756800004</v>
      </c>
      <c r="I51" s="1">
        <f t="shared" ref="I51" si="43">H51+H65-I54</f>
        <v>144633.89431200008</v>
      </c>
      <c r="J51" s="1">
        <f t="shared" ref="J51" si="44">I51+I65</f>
        <v>166876.00105600012</v>
      </c>
    </row>
    <row r="52" spans="1:10" x14ac:dyDescent="0.25">
      <c r="A52" s="16" t="s">
        <v>72</v>
      </c>
      <c r="B52" s="16"/>
      <c r="C52" s="1">
        <f>SUM(C51)</f>
        <v>60000</v>
      </c>
      <c r="D52" s="1">
        <f t="shared" ref="D52:F52" si="45">SUM(D51)</f>
        <v>64180</v>
      </c>
      <c r="E52" s="1">
        <f t="shared" si="45"/>
        <v>73896.08</v>
      </c>
      <c r="F52" s="1">
        <f t="shared" si="45"/>
        <v>84620.667999999976</v>
      </c>
      <c r="G52" s="1">
        <f t="shared" ref="G52:J52" si="46">SUM(G51)</f>
        <v>106862.77474400001</v>
      </c>
      <c r="H52" s="1">
        <f t="shared" si="46"/>
        <v>128391.78756800004</v>
      </c>
      <c r="I52" s="1">
        <f t="shared" si="46"/>
        <v>144633.89431200008</v>
      </c>
      <c r="J52" s="1">
        <f t="shared" si="46"/>
        <v>166876.00105600012</v>
      </c>
    </row>
    <row r="54" spans="1:10" x14ac:dyDescent="0.25">
      <c r="A54" s="1" t="s">
        <v>73</v>
      </c>
      <c r="C54" s="1">
        <v>3000</v>
      </c>
      <c r="D54" s="1">
        <f>C54-C55</f>
        <v>2000</v>
      </c>
      <c r="E54" s="1">
        <f>D54-D55</f>
        <v>1000</v>
      </c>
      <c r="F54" s="1">
        <v>5000</v>
      </c>
      <c r="G54" s="1">
        <f t="shared" ref="G54:H54" si="47">F54-F55</f>
        <v>3333.333333333333</v>
      </c>
      <c r="H54" s="1">
        <f t="shared" si="47"/>
        <v>1666.6666666666663</v>
      </c>
      <c r="I54" s="1">
        <v>6000</v>
      </c>
      <c r="J54" s="1">
        <f>I54-I55</f>
        <v>4000</v>
      </c>
    </row>
    <row r="55" spans="1:10" x14ac:dyDescent="0.25">
      <c r="A55" s="1" t="s">
        <v>74</v>
      </c>
      <c r="C55" s="1">
        <v>1000</v>
      </c>
      <c r="D55" s="1">
        <v>1000</v>
      </c>
      <c r="E55" s="1">
        <v>1000</v>
      </c>
      <c r="F55" s="1">
        <f>F54/3</f>
        <v>1666.6666666666667</v>
      </c>
      <c r="G55" s="1">
        <f>F55</f>
        <v>1666.6666666666667</v>
      </c>
      <c r="H55" s="1">
        <f>G55</f>
        <v>1666.6666666666667</v>
      </c>
      <c r="I55" s="1">
        <f>I54/3</f>
        <v>2000</v>
      </c>
      <c r="J55" s="1">
        <v>2000</v>
      </c>
    </row>
    <row r="57" spans="1:10" x14ac:dyDescent="0.25">
      <c r="A57" s="16" t="s">
        <v>75</v>
      </c>
      <c r="B57" s="16"/>
      <c r="C57" s="1">
        <f>C52+C54-C55</f>
        <v>62000</v>
      </c>
      <c r="D57" s="1">
        <f t="shared" ref="D57:F57" si="48">D52+D54-D55</f>
        <v>65180</v>
      </c>
      <c r="E57" s="1">
        <f t="shared" si="48"/>
        <v>73896.08</v>
      </c>
      <c r="F57" s="1">
        <f t="shared" si="48"/>
        <v>87954.001333333305</v>
      </c>
      <c r="G57" s="1">
        <f t="shared" ref="G57:J57" si="49">G52+G54-G55</f>
        <v>108529.44141066667</v>
      </c>
      <c r="H57" s="1">
        <f t="shared" si="49"/>
        <v>128391.78756800004</v>
      </c>
      <c r="I57" s="1">
        <f t="shared" si="49"/>
        <v>148633.89431200008</v>
      </c>
      <c r="J57" s="1">
        <f t="shared" si="49"/>
        <v>168876.00105600012</v>
      </c>
    </row>
    <row r="59" spans="1:10" x14ac:dyDescent="0.25">
      <c r="A59" s="16" t="s">
        <v>77</v>
      </c>
      <c r="B59" s="16"/>
    </row>
    <row r="60" spans="1:10" x14ac:dyDescent="0.25">
      <c r="A60" s="1" t="s">
        <v>78</v>
      </c>
      <c r="C60" s="1">
        <f>IF(C44&gt;0,C44,0)</f>
        <v>570</v>
      </c>
      <c r="D60" s="1">
        <f t="shared" ref="D60:J60" si="50">IF(D44&gt;0,D44,0)</f>
        <v>1324.9199999999998</v>
      </c>
      <c r="E60" s="1">
        <f t="shared" si="50"/>
        <v>2144.261999999997</v>
      </c>
      <c r="F60" s="1">
        <f t="shared" si="50"/>
        <v>3033.0145560000051</v>
      </c>
      <c r="G60" s="1">
        <f t="shared" si="50"/>
        <v>2935.7744760000046</v>
      </c>
      <c r="H60" s="1">
        <f t="shared" si="50"/>
        <v>3033.0145560000051</v>
      </c>
      <c r="I60" s="1">
        <f t="shared" si="50"/>
        <v>3033.0145560000051</v>
      </c>
      <c r="J60" s="1">
        <f t="shared" si="50"/>
        <v>3033.0145560000051</v>
      </c>
    </row>
    <row r="62" spans="1:10" x14ac:dyDescent="0.25">
      <c r="A62" s="18" t="s">
        <v>79</v>
      </c>
      <c r="B62" s="18"/>
      <c r="C62" s="1">
        <v>50000</v>
      </c>
      <c r="D62" s="1">
        <v>50000</v>
      </c>
      <c r="E62" s="1">
        <v>50000</v>
      </c>
      <c r="F62" s="1">
        <v>50000</v>
      </c>
      <c r="G62" s="1">
        <v>50000</v>
      </c>
      <c r="H62" s="1">
        <v>50000</v>
      </c>
      <c r="I62" s="1">
        <v>50000</v>
      </c>
      <c r="J62" s="1">
        <v>50000</v>
      </c>
    </row>
    <row r="63" spans="1:10" x14ac:dyDescent="0.25">
      <c r="A63" s="18"/>
      <c r="B63" s="18"/>
    </row>
    <row r="64" spans="1:10" x14ac:dyDescent="0.25">
      <c r="A64" s="1" t="s">
        <v>82</v>
      </c>
      <c r="C64" s="1">
        <v>7250</v>
      </c>
      <c r="D64" s="1">
        <v>4138.9999999999927</v>
      </c>
      <c r="E64" s="1">
        <v>6027.1500000000115</v>
      </c>
      <c r="F64" s="1">
        <v>12678.878699999947</v>
      </c>
      <c r="G64" s="1">
        <v>34064.212699999967</v>
      </c>
      <c r="H64" s="1">
        <v>53116.878699999957</v>
      </c>
      <c r="I64" s="1">
        <v>73358.878699999943</v>
      </c>
      <c r="J64" s="1">
        <v>93600.878699999972</v>
      </c>
    </row>
    <row r="65" spans="1:13" x14ac:dyDescent="0.25">
      <c r="A65" s="18" t="s">
        <v>80</v>
      </c>
      <c r="B65" s="18"/>
      <c r="C65" s="1">
        <f>C45</f>
        <v>4180</v>
      </c>
      <c r="D65" s="1">
        <f t="shared" ref="D65:F65" si="51">D45</f>
        <v>9716.08</v>
      </c>
      <c r="E65" s="1">
        <f t="shared" si="51"/>
        <v>15724.58799999998</v>
      </c>
      <c r="F65" s="1">
        <f t="shared" si="51"/>
        <v>22242.106744000037</v>
      </c>
      <c r="G65" s="1">
        <f t="shared" ref="G65:J65" si="52">G45</f>
        <v>21529.012824000034</v>
      </c>
      <c r="H65" s="1">
        <f t="shared" si="52"/>
        <v>22242.106744000037</v>
      </c>
      <c r="I65" s="1">
        <f t="shared" si="52"/>
        <v>22242.106744000037</v>
      </c>
      <c r="J65" s="1">
        <f t="shared" si="52"/>
        <v>22242.106744000037</v>
      </c>
    </row>
    <row r="67" spans="1:13" ht="15.75" thickBot="1" x14ac:dyDescent="0.3">
      <c r="A67" s="16" t="s">
        <v>81</v>
      </c>
      <c r="B67" s="16"/>
      <c r="C67" s="1">
        <f>C60+C62+C65+C64</f>
        <v>62000</v>
      </c>
      <c r="D67" s="1">
        <f>D60+D62+D65+D64</f>
        <v>65179.999999999993</v>
      </c>
      <c r="E67" s="1">
        <f t="shared" ref="E67:F67" si="53">E60+E62+E65+E64</f>
        <v>73895.999999999985</v>
      </c>
      <c r="F67" s="1">
        <f t="shared" si="53"/>
        <v>87953.999999999985</v>
      </c>
      <c r="G67" s="1">
        <f t="shared" ref="G67:J67" si="54">G60+G62+G65+G64</f>
        <v>108529</v>
      </c>
      <c r="H67" s="1">
        <f t="shared" si="54"/>
        <v>128392</v>
      </c>
      <c r="I67" s="1">
        <f t="shared" si="54"/>
        <v>148634</v>
      </c>
      <c r="J67" s="1">
        <f t="shared" si="54"/>
        <v>168876</v>
      </c>
    </row>
    <row r="68" spans="1:13" ht="16.5" thickTop="1" thickBot="1" x14ac:dyDescent="0.3">
      <c r="A68" s="35"/>
      <c r="B68" s="35"/>
      <c r="C68" s="36"/>
      <c r="D68" s="36"/>
      <c r="E68" s="36"/>
      <c r="F68" s="36"/>
      <c r="G68" s="36"/>
      <c r="H68" s="36"/>
      <c r="I68" s="36"/>
      <c r="J68" s="36"/>
    </row>
    <row r="69" spans="1:13" ht="16.5" thickTop="1" thickBot="1" x14ac:dyDescent="0.3">
      <c r="A69" s="29" t="s">
        <v>4</v>
      </c>
      <c r="B69" s="25"/>
      <c r="C69" s="17">
        <v>2012</v>
      </c>
      <c r="D69" s="17">
        <v>2013</v>
      </c>
      <c r="E69" s="17">
        <v>2014</v>
      </c>
      <c r="F69" s="17">
        <v>2015</v>
      </c>
      <c r="G69" s="17">
        <v>2016</v>
      </c>
      <c r="H69" s="17">
        <v>2017</v>
      </c>
      <c r="I69" s="17">
        <v>2018</v>
      </c>
      <c r="J69" s="17">
        <v>2019</v>
      </c>
    </row>
    <row r="70" spans="1:13" ht="15.75" thickTop="1" x14ac:dyDescent="0.25">
      <c r="A70" s="24" t="s">
        <v>5</v>
      </c>
      <c r="B70" s="24"/>
      <c r="C70" s="1">
        <f t="shared" ref="C70:J70" si="55">C52/C60</f>
        <v>105.26315789473684</v>
      </c>
      <c r="D70" s="1">
        <f t="shared" si="55"/>
        <v>48.440660568185251</v>
      </c>
      <c r="E70" s="1">
        <f t="shared" si="55"/>
        <v>34.462243886241559</v>
      </c>
      <c r="F70" s="1">
        <f t="shared" si="55"/>
        <v>27.899855552160375</v>
      </c>
      <c r="G70" s="1">
        <f t="shared" si="55"/>
        <v>36.400198863231701</v>
      </c>
      <c r="H70" s="1">
        <f t="shared" si="55"/>
        <v>42.331411603024243</v>
      </c>
      <c r="I70" s="1">
        <f t="shared" si="55"/>
        <v>47.686515063332202</v>
      </c>
      <c r="J70" s="1">
        <f t="shared" si="55"/>
        <v>55.019848396665537</v>
      </c>
    </row>
    <row r="71" spans="1:13" x14ac:dyDescent="0.25">
      <c r="A71" s="24" t="s">
        <v>6</v>
      </c>
      <c r="B71" s="24"/>
      <c r="C71" s="1">
        <f t="shared" ref="C71:J71" si="56">C62/(C64+C65)</f>
        <v>4.3744531933508313</v>
      </c>
      <c r="D71" s="1">
        <f t="shared" si="56"/>
        <v>3.6087846479414067</v>
      </c>
      <c r="E71" s="1">
        <f t="shared" si="56"/>
        <v>2.2986668927328942</v>
      </c>
      <c r="F71" s="1">
        <f t="shared" si="56"/>
        <v>1.4318038097802548</v>
      </c>
      <c r="G71" s="1">
        <f t="shared" si="56"/>
        <v>0.89939016001895111</v>
      </c>
      <c r="H71" s="1">
        <f t="shared" si="56"/>
        <v>0.66349088573061399</v>
      </c>
      <c r="I71" s="1">
        <f t="shared" si="56"/>
        <v>0.52300716114781487</v>
      </c>
      <c r="J71" s="1">
        <f t="shared" si="56"/>
        <v>0.43161871051890877</v>
      </c>
    </row>
    <row r="72" spans="1:13" x14ac:dyDescent="0.25">
      <c r="A72" s="24" t="s">
        <v>7</v>
      </c>
      <c r="B72" s="24"/>
      <c r="C72" s="26">
        <f t="shared" ref="C72:J72" si="57">C45/C57</f>
        <v>6.7419354838709672E-2</v>
      </c>
      <c r="D72" s="26">
        <f t="shared" si="57"/>
        <v>0.14906535747161706</v>
      </c>
      <c r="E72" s="26">
        <f t="shared" si="57"/>
        <v>0.21279326318797939</v>
      </c>
      <c r="F72" s="26">
        <f t="shared" si="57"/>
        <v>0.25288339821750211</v>
      </c>
      <c r="G72" s="26">
        <f t="shared" si="57"/>
        <v>0.19837025367647459</v>
      </c>
      <c r="H72" s="26">
        <f t="shared" si="57"/>
        <v>0.17323621054983729</v>
      </c>
      <c r="I72" s="26">
        <f t="shared" si="57"/>
        <v>0.14964357118512439</v>
      </c>
      <c r="J72" s="26">
        <f t="shared" si="57"/>
        <v>0.13170673514837933</v>
      </c>
    </row>
    <row r="73" spans="1:13" x14ac:dyDescent="0.25">
      <c r="A73" s="24" t="s">
        <v>8</v>
      </c>
      <c r="B73" s="24"/>
      <c r="C73" s="26">
        <f t="shared" ref="C73:J73" si="58">C45/(C64+C65)</f>
        <v>0.36570428696412949</v>
      </c>
      <c r="D73" s="26">
        <f t="shared" si="58"/>
        <v>0.70126480684341086</v>
      </c>
      <c r="E73" s="26">
        <f t="shared" si="58"/>
        <v>0.72291179674929817</v>
      </c>
      <c r="F73" s="26">
        <f t="shared" si="58"/>
        <v>0.63692666347196703</v>
      </c>
      <c r="G73" s="26">
        <f t="shared" si="58"/>
        <v>0.38725964577654881</v>
      </c>
      <c r="H73" s="26">
        <f t="shared" si="58"/>
        <v>0.29514870208182892</v>
      </c>
      <c r="I73" s="26">
        <f t="shared" si="58"/>
        <v>0.23265562212252255</v>
      </c>
      <c r="J73" s="26">
        <f t="shared" si="58"/>
        <v>0.19200218864138441</v>
      </c>
    </row>
    <row r="74" spans="1:13" ht="15.75" thickBot="1" x14ac:dyDescent="0.3">
      <c r="A74" s="16"/>
      <c r="B74" s="16"/>
    </row>
    <row r="75" spans="1:13" ht="16.5" thickTop="1" thickBot="1" x14ac:dyDescent="0.3">
      <c r="A75" s="30" t="s">
        <v>29</v>
      </c>
      <c r="B75" s="16"/>
    </row>
    <row r="76" spans="1:13" ht="17.25" thickTop="1" thickBot="1" x14ac:dyDescent="0.3">
      <c r="A76" s="1" t="s">
        <v>83</v>
      </c>
      <c r="C76" s="21">
        <v>1.6299999999999999E-2</v>
      </c>
      <c r="F76" s="37" t="s">
        <v>31</v>
      </c>
      <c r="G76" s="38"/>
      <c r="H76" s="38"/>
      <c r="I76" s="38"/>
      <c r="J76" s="38"/>
      <c r="K76" s="38"/>
      <c r="L76" s="38"/>
      <c r="M76" s="38"/>
    </row>
    <row r="77" spans="1:13" ht="15.75" thickTop="1" x14ac:dyDescent="0.25">
      <c r="A77" s="1" t="s">
        <v>84</v>
      </c>
      <c r="C77" s="21">
        <v>0.1041</v>
      </c>
      <c r="F77" s="39" t="s">
        <v>32</v>
      </c>
      <c r="G77" s="49" t="s">
        <v>33</v>
      </c>
      <c r="H77" s="49"/>
      <c r="I77" s="49"/>
      <c r="J77" s="40"/>
      <c r="K77" s="40"/>
      <c r="L77" s="40"/>
      <c r="M77" s="41"/>
    </row>
    <row r="78" spans="1:13" ht="15.75" thickTop="1" x14ac:dyDescent="0.25">
      <c r="A78" s="1" t="s">
        <v>85</v>
      </c>
      <c r="C78" s="9">
        <f>C77-C76</f>
        <v>8.7800000000000003E-2</v>
      </c>
      <c r="F78" s="42" t="s">
        <v>34</v>
      </c>
      <c r="G78" s="50" t="s">
        <v>35</v>
      </c>
      <c r="H78" s="50"/>
      <c r="I78" s="50"/>
      <c r="J78" s="50"/>
      <c r="K78" s="50"/>
      <c r="L78" s="50"/>
      <c r="M78" s="43"/>
    </row>
    <row r="79" spans="1:13" ht="16.5" thickTop="1" thickBot="1" x14ac:dyDescent="0.3">
      <c r="F79" s="44" t="s">
        <v>36</v>
      </c>
      <c r="G79" s="45" t="s">
        <v>37</v>
      </c>
      <c r="H79" s="45"/>
      <c r="I79" s="45"/>
      <c r="J79" s="45"/>
      <c r="K79" s="45"/>
      <c r="L79" s="45"/>
      <c r="M79" s="46"/>
    </row>
    <row r="80" spans="1:13" x14ac:dyDescent="0.25">
      <c r="A80" s="1" t="s">
        <v>86</v>
      </c>
      <c r="C80" s="21">
        <f>C76+C93*C78</f>
        <v>0.19716800000000001</v>
      </c>
    </row>
    <row r="82" spans="1:5" x14ac:dyDescent="0.25">
      <c r="A82" s="3" t="s">
        <v>87</v>
      </c>
      <c r="B82" s="3"/>
      <c r="C82" s="3" t="s">
        <v>89</v>
      </c>
      <c r="D82" s="3" t="s">
        <v>88</v>
      </c>
      <c r="E82" s="3" t="s">
        <v>90</v>
      </c>
    </row>
    <row r="83" spans="1:5" x14ac:dyDescent="0.25">
      <c r="A83" s="1" t="s">
        <v>79</v>
      </c>
      <c r="C83" s="1">
        <f>J62</f>
        <v>50000</v>
      </c>
      <c r="D83" s="9">
        <v>1</v>
      </c>
      <c r="E83" s="20">
        <f>C16</f>
        <v>0.105</v>
      </c>
    </row>
    <row r="85" spans="1:5" x14ac:dyDescent="0.25">
      <c r="A85" s="1" t="s">
        <v>91</v>
      </c>
      <c r="C85" s="22">
        <f>D83*E83</f>
        <v>0.105</v>
      </c>
    </row>
    <row r="86" spans="1:5" x14ac:dyDescent="0.25">
      <c r="A86" s="1" t="s">
        <v>92</v>
      </c>
      <c r="C86" s="9">
        <f>C18</f>
        <v>0.12</v>
      </c>
    </row>
    <row r="88" spans="1:5" x14ac:dyDescent="0.25">
      <c r="A88" s="3" t="s">
        <v>93</v>
      </c>
      <c r="B88" s="3"/>
      <c r="C88" s="3" t="s">
        <v>89</v>
      </c>
      <c r="D88" s="3" t="s">
        <v>88</v>
      </c>
      <c r="E88" s="3" t="s">
        <v>90</v>
      </c>
    </row>
    <row r="89" spans="1:5" x14ac:dyDescent="0.25">
      <c r="A89" s="1" t="s">
        <v>0</v>
      </c>
      <c r="C89" s="1">
        <f>C83</f>
        <v>50000</v>
      </c>
      <c r="D89" s="9">
        <f>C89/C91</f>
        <v>0.30148998986082193</v>
      </c>
      <c r="E89" s="20">
        <f>C85</f>
        <v>0.105</v>
      </c>
    </row>
    <row r="90" spans="1:5" x14ac:dyDescent="0.25">
      <c r="A90" s="1" t="s">
        <v>1</v>
      </c>
      <c r="C90" s="3">
        <f>J64+J65</f>
        <v>115842.98544400001</v>
      </c>
      <c r="D90" s="9">
        <f>C90/C91</f>
        <v>0.69851001013917813</v>
      </c>
      <c r="E90" s="21">
        <f>C80</f>
        <v>0.19716800000000001</v>
      </c>
    </row>
    <row r="91" spans="1:5" x14ac:dyDescent="0.25">
      <c r="C91" s="1">
        <f>SUM(C89:C90)</f>
        <v>165842.98544399999</v>
      </c>
    </row>
    <row r="93" spans="1:5" x14ac:dyDescent="0.25">
      <c r="A93" s="1" t="s">
        <v>2</v>
      </c>
      <c r="C93" s="23">
        <v>2.06</v>
      </c>
    </row>
    <row r="94" spans="1:5" ht="15.75" thickBot="1" x14ac:dyDescent="0.3"/>
    <row r="95" spans="1:5" ht="16.5" thickTop="1" thickBot="1" x14ac:dyDescent="0.3">
      <c r="A95" s="16" t="s">
        <v>3</v>
      </c>
      <c r="B95" s="16"/>
      <c r="C95" s="31">
        <f>D89*E89*(1-C86)+D90*E90</f>
        <v>0.16558149674226141</v>
      </c>
    </row>
    <row r="96" spans="1:5" ht="16.5" thickTop="1" thickBot="1" x14ac:dyDescent="0.3"/>
    <row r="97" spans="1:12" ht="16.5" thickTop="1" thickBot="1" x14ac:dyDescent="0.3">
      <c r="A97" s="32" t="s">
        <v>30</v>
      </c>
    </row>
    <row r="98" spans="1:12" ht="15.75" thickTop="1" x14ac:dyDescent="0.25">
      <c r="A98" s="24" t="s">
        <v>9</v>
      </c>
      <c r="B98" s="24"/>
      <c r="C98" s="1">
        <f>C39</f>
        <v>10000</v>
      </c>
      <c r="D98" s="1">
        <f t="shared" ref="D98:J98" si="59">D39</f>
        <v>16291</v>
      </c>
      <c r="E98" s="1">
        <f t="shared" si="59"/>
        <v>23118.849999999977</v>
      </c>
      <c r="F98" s="1">
        <f t="shared" si="59"/>
        <v>30525.121300000043</v>
      </c>
      <c r="G98" s="1">
        <f t="shared" si="59"/>
        <v>29714.78730000004</v>
      </c>
      <c r="H98" s="1">
        <f t="shared" si="59"/>
        <v>30525.121300000043</v>
      </c>
      <c r="I98" s="1">
        <f t="shared" si="59"/>
        <v>30525.121300000043</v>
      </c>
      <c r="J98" s="1">
        <f t="shared" si="59"/>
        <v>30525.121300000043</v>
      </c>
    </row>
    <row r="99" spans="1:12" x14ac:dyDescent="0.25">
      <c r="A99" s="24" t="s">
        <v>10</v>
      </c>
      <c r="B99" s="24"/>
      <c r="C99" s="1">
        <f>C55</f>
        <v>1000</v>
      </c>
      <c r="D99" s="1">
        <f t="shared" ref="D99:J99" si="60">D55</f>
        <v>1000</v>
      </c>
      <c r="E99" s="1">
        <f t="shared" si="60"/>
        <v>1000</v>
      </c>
      <c r="F99" s="1">
        <f t="shared" si="60"/>
        <v>1666.6666666666667</v>
      </c>
      <c r="G99" s="1">
        <f t="shared" si="60"/>
        <v>1666.6666666666667</v>
      </c>
      <c r="H99" s="1">
        <f t="shared" si="60"/>
        <v>1666.6666666666667</v>
      </c>
      <c r="I99" s="1">
        <f t="shared" si="60"/>
        <v>2000</v>
      </c>
      <c r="J99" s="1">
        <f t="shared" si="60"/>
        <v>2000</v>
      </c>
    </row>
    <row r="100" spans="1:12" x14ac:dyDescent="0.25">
      <c r="A100" s="24" t="s">
        <v>11</v>
      </c>
      <c r="B100" s="24"/>
      <c r="C100" s="1">
        <f>C98-C99</f>
        <v>9000</v>
      </c>
      <c r="D100" s="1">
        <f t="shared" ref="D100:J100" si="61">D98-D99</f>
        <v>15291</v>
      </c>
      <c r="E100" s="1">
        <f t="shared" si="61"/>
        <v>22118.849999999977</v>
      </c>
      <c r="F100" s="1">
        <f t="shared" si="61"/>
        <v>28858.454633333375</v>
      </c>
      <c r="G100" s="1">
        <f t="shared" si="61"/>
        <v>28048.120633333372</v>
      </c>
      <c r="H100" s="1">
        <f t="shared" si="61"/>
        <v>28858.454633333375</v>
      </c>
      <c r="I100" s="1">
        <f t="shared" si="61"/>
        <v>28525.121300000043</v>
      </c>
      <c r="J100" s="1">
        <f t="shared" si="61"/>
        <v>28525.121300000043</v>
      </c>
    </row>
    <row r="101" spans="1:12" x14ac:dyDescent="0.25">
      <c r="A101" s="24" t="s">
        <v>12</v>
      </c>
      <c r="B101" s="24"/>
      <c r="C101" s="1">
        <f>C100*$C$18</f>
        <v>1080</v>
      </c>
      <c r="D101" s="1">
        <f t="shared" ref="D101:J101" si="62">D100*$C$18</f>
        <v>1834.9199999999998</v>
      </c>
      <c r="E101" s="1">
        <f t="shared" si="62"/>
        <v>2654.261999999997</v>
      </c>
      <c r="F101" s="1">
        <f t="shared" si="62"/>
        <v>3463.0145560000046</v>
      </c>
      <c r="G101" s="1">
        <f t="shared" si="62"/>
        <v>3365.7744760000046</v>
      </c>
      <c r="H101" s="1">
        <f t="shared" si="62"/>
        <v>3463.0145560000046</v>
      </c>
      <c r="I101" s="1">
        <f t="shared" si="62"/>
        <v>3423.0145560000051</v>
      </c>
      <c r="J101" s="1">
        <f t="shared" si="62"/>
        <v>3423.0145560000051</v>
      </c>
    </row>
    <row r="102" spans="1:12" x14ac:dyDescent="0.25">
      <c r="A102" s="24" t="s">
        <v>13</v>
      </c>
      <c r="B102" s="24"/>
      <c r="C102" s="1">
        <f>C99</f>
        <v>1000</v>
      </c>
      <c r="D102" s="1">
        <f t="shared" ref="D102:J102" si="63">D99</f>
        <v>1000</v>
      </c>
      <c r="E102" s="1">
        <f t="shared" si="63"/>
        <v>1000</v>
      </c>
      <c r="F102" s="1">
        <f t="shared" si="63"/>
        <v>1666.6666666666667</v>
      </c>
      <c r="G102" s="1">
        <f t="shared" si="63"/>
        <v>1666.6666666666667</v>
      </c>
      <c r="H102" s="1">
        <f t="shared" si="63"/>
        <v>1666.6666666666667</v>
      </c>
      <c r="I102" s="1">
        <f t="shared" si="63"/>
        <v>2000</v>
      </c>
      <c r="J102" s="1">
        <f t="shared" si="63"/>
        <v>2000</v>
      </c>
    </row>
    <row r="103" spans="1:12" x14ac:dyDescent="0.25">
      <c r="A103" s="25" t="s">
        <v>14</v>
      </c>
      <c r="B103" s="25"/>
      <c r="C103" s="1">
        <f>C100-C101+C102</f>
        <v>8920</v>
      </c>
      <c r="D103" s="1">
        <f t="shared" ref="D103:J103" si="64">D100-D101+D102</f>
        <v>14456.08</v>
      </c>
      <c r="E103" s="1">
        <f t="shared" si="64"/>
        <v>20464.587999999982</v>
      </c>
      <c r="F103" s="1">
        <f t="shared" si="64"/>
        <v>27062.106744000037</v>
      </c>
      <c r="G103" s="1">
        <f t="shared" si="64"/>
        <v>26349.012824000034</v>
      </c>
      <c r="H103" s="1">
        <f t="shared" si="64"/>
        <v>27062.106744000037</v>
      </c>
      <c r="I103" s="1">
        <f t="shared" si="64"/>
        <v>27102.106744000037</v>
      </c>
      <c r="J103" s="1">
        <f t="shared" si="64"/>
        <v>27102.106744000037</v>
      </c>
    </row>
    <row r="104" spans="1:12" x14ac:dyDescent="0.25">
      <c r="A104" s="25"/>
      <c r="B104" s="25"/>
    </row>
    <row r="105" spans="1:12" x14ac:dyDescent="0.25">
      <c r="A105" s="25" t="s">
        <v>15</v>
      </c>
      <c r="B105" s="25"/>
    </row>
    <row r="106" spans="1:12" x14ac:dyDescent="0.25">
      <c r="A106" s="24" t="s">
        <v>16</v>
      </c>
      <c r="B106" s="24">
        <v>-3000</v>
      </c>
      <c r="E106" s="24">
        <v>-3000</v>
      </c>
      <c r="H106" s="24">
        <v>-3000</v>
      </c>
      <c r="K106" s="1" t="s">
        <v>17</v>
      </c>
      <c r="L106" s="1">
        <f>-B106-SUM(C55:E55)</f>
        <v>0</v>
      </c>
    </row>
    <row r="107" spans="1:12" x14ac:dyDescent="0.25">
      <c r="A107" s="25"/>
      <c r="B107" s="25"/>
    </row>
    <row r="108" spans="1:12" x14ac:dyDescent="0.25">
      <c r="A108" s="25" t="s">
        <v>18</v>
      </c>
      <c r="B108" s="25"/>
    </row>
    <row r="109" spans="1:12" x14ac:dyDescent="0.25">
      <c r="A109" s="24" t="s">
        <v>19</v>
      </c>
      <c r="B109" s="25"/>
      <c r="C109" s="1">
        <f>(C51-B51)*-1</f>
        <v>-60000</v>
      </c>
      <c r="D109" s="1">
        <f>(D51-C51)*-1</f>
        <v>-4180</v>
      </c>
      <c r="E109" s="1">
        <f t="shared" ref="E109:J109" si="65">(E51-D51)*-1</f>
        <v>-9716.0800000000017</v>
      </c>
      <c r="F109" s="1">
        <f t="shared" si="65"/>
        <v>-10724.587999999974</v>
      </c>
      <c r="G109" s="1">
        <f t="shared" si="65"/>
        <v>-22242.106744000033</v>
      </c>
      <c r="H109" s="1">
        <f t="shared" si="65"/>
        <v>-21529.012824000034</v>
      </c>
      <c r="I109" s="1">
        <f t="shared" si="65"/>
        <v>-16242.106744000033</v>
      </c>
      <c r="J109" s="1">
        <f t="shared" si="65"/>
        <v>-22242.106744000048</v>
      </c>
    </row>
    <row r="110" spans="1:12" x14ac:dyDescent="0.25">
      <c r="A110" s="24"/>
      <c r="B110" s="25"/>
    </row>
    <row r="111" spans="1:12" x14ac:dyDescent="0.25">
      <c r="A111" s="24" t="s">
        <v>20</v>
      </c>
      <c r="B111" s="25"/>
      <c r="C111" s="1">
        <f>C101-B101</f>
        <v>1080</v>
      </c>
      <c r="D111" s="1">
        <f t="shared" ref="D111:J111" si="66">D101-C101</f>
        <v>754.91999999999985</v>
      </c>
      <c r="E111" s="1">
        <f t="shared" si="66"/>
        <v>819.34199999999714</v>
      </c>
      <c r="F111" s="1">
        <f t="shared" si="66"/>
        <v>808.75255600000764</v>
      </c>
      <c r="G111" s="1">
        <f t="shared" si="66"/>
        <v>-97.240080000000034</v>
      </c>
      <c r="H111" s="1">
        <f t="shared" si="66"/>
        <v>97.240080000000034</v>
      </c>
      <c r="I111" s="1">
        <f>I101-H101</f>
        <v>-39.999999999999545</v>
      </c>
      <c r="J111" s="1">
        <f t="shared" si="66"/>
        <v>0</v>
      </c>
    </row>
    <row r="112" spans="1:12" x14ac:dyDescent="0.25">
      <c r="A112" s="24"/>
      <c r="B112" s="25"/>
    </row>
    <row r="113" spans="1:10" x14ac:dyDescent="0.25">
      <c r="A113" s="25" t="s">
        <v>21</v>
      </c>
      <c r="B113" s="25"/>
    </row>
    <row r="114" spans="1:10" x14ac:dyDescent="0.25">
      <c r="A114" s="24" t="s">
        <v>22</v>
      </c>
      <c r="B114" s="25"/>
      <c r="J114" s="1">
        <f>J51</f>
        <v>166876.00105600012</v>
      </c>
    </row>
    <row r="115" spans="1:10" x14ac:dyDescent="0.25">
      <c r="A115" s="24"/>
      <c r="B115" s="25"/>
    </row>
    <row r="116" spans="1:10" x14ac:dyDescent="0.25">
      <c r="A116" s="24" t="s">
        <v>23</v>
      </c>
      <c r="B116" s="16"/>
      <c r="J116" s="1">
        <f>-J101</f>
        <v>-3423.0145560000051</v>
      </c>
    </row>
    <row r="117" spans="1:10" x14ac:dyDescent="0.25">
      <c r="A117" s="24"/>
      <c r="B117" s="16"/>
    </row>
    <row r="118" spans="1:10" x14ac:dyDescent="0.25">
      <c r="A118" s="25" t="s">
        <v>24</v>
      </c>
      <c r="B118" s="24">
        <f>SUM(B103:B117)</f>
        <v>-3000</v>
      </c>
      <c r="C118" s="24">
        <f t="shared" ref="C118:J118" si="67">SUM(C103:C117)</f>
        <v>-50000</v>
      </c>
      <c r="D118" s="24">
        <f t="shared" si="67"/>
        <v>11031</v>
      </c>
      <c r="E118" s="24">
        <f t="shared" si="67"/>
        <v>8567.8499999999767</v>
      </c>
      <c r="F118" s="24">
        <f t="shared" si="67"/>
        <v>17146.271300000069</v>
      </c>
      <c r="G118" s="24">
        <f t="shared" si="67"/>
        <v>4009.6660000000006</v>
      </c>
      <c r="H118" s="24">
        <f t="shared" si="67"/>
        <v>2630.334000000003</v>
      </c>
      <c r="I118" s="24">
        <f t="shared" si="67"/>
        <v>10820.000000000004</v>
      </c>
      <c r="J118" s="24">
        <f t="shared" si="67"/>
        <v>168312.98650000012</v>
      </c>
    </row>
    <row r="119" spans="1:10" x14ac:dyDescent="0.25">
      <c r="A119" s="24" t="s">
        <v>25</v>
      </c>
      <c r="B119" s="24">
        <f>PV($B$121,B120,,-B118)</f>
        <v>-3000</v>
      </c>
      <c r="C119" s="24">
        <f t="shared" ref="C119:G119" si="68">PV($B$121,C120,,-C118)</f>
        <v>-42897.043355395865</v>
      </c>
      <c r="D119" s="24">
        <f t="shared" si="68"/>
        <v>8119.5057844678058</v>
      </c>
      <c r="E119" s="24">
        <f t="shared" si="68"/>
        <v>5410.5812229718904</v>
      </c>
      <c r="F119" s="24">
        <f t="shared" si="68"/>
        <v>9289.6448960038906</v>
      </c>
      <c r="G119" s="24">
        <f t="shared" si="68"/>
        <v>1863.7814088557957</v>
      </c>
      <c r="H119" s="24">
        <f>PV($B$121,H120,,-H118)</f>
        <v>1048.9505900817251</v>
      </c>
      <c r="I119" s="24">
        <f t="shared" ref="I119:J119" si="69">PV($B$121,I120,,-I118)</f>
        <v>3701.934660276369</v>
      </c>
      <c r="J119" s="24">
        <f t="shared" si="69"/>
        <v>49405.633217394148</v>
      </c>
    </row>
    <row r="120" spans="1:10" x14ac:dyDescent="0.25">
      <c r="A120" s="24"/>
      <c r="B120" s="24">
        <v>0</v>
      </c>
      <c r="C120" s="24">
        <v>1</v>
      </c>
      <c r="D120" s="24">
        <v>2</v>
      </c>
      <c r="E120" s="24">
        <v>3</v>
      </c>
      <c r="F120" s="24">
        <v>4</v>
      </c>
      <c r="G120" s="24">
        <v>5</v>
      </c>
      <c r="H120" s="24">
        <v>6</v>
      </c>
      <c r="I120" s="24">
        <v>7</v>
      </c>
      <c r="J120" s="24">
        <v>8</v>
      </c>
    </row>
    <row r="121" spans="1:10" ht="15.75" thickBot="1" x14ac:dyDescent="0.3">
      <c r="A121" s="24" t="s">
        <v>26</v>
      </c>
      <c r="B121" s="28">
        <f>C95</f>
        <v>0.16558149674226141</v>
      </c>
    </row>
    <row r="122" spans="1:10" ht="16.5" thickTop="1" thickBot="1" x14ac:dyDescent="0.3">
      <c r="A122" s="25" t="s">
        <v>27</v>
      </c>
      <c r="B122" s="33">
        <f>SUM(B119:J119)</f>
        <v>32942.988424655763</v>
      </c>
    </row>
    <row r="123" spans="1:10" ht="16.5" thickTop="1" thickBot="1" x14ac:dyDescent="0.3">
      <c r="A123" s="25" t="s">
        <v>28</v>
      </c>
      <c r="B123" s="34">
        <f>IRR(B118:J118)</f>
        <v>0.29321180810292224</v>
      </c>
    </row>
    <row r="124" spans="1:10" ht="15.75" thickTop="1" x14ac:dyDescent="0.25">
      <c r="A124" s="25"/>
      <c r="B124" s="16"/>
    </row>
    <row r="125" spans="1:10" x14ac:dyDescent="0.25">
      <c r="A125" s="25"/>
      <c r="B125" s="16"/>
    </row>
  </sheetData>
  <mergeCells count="6">
    <mergeCell ref="G79:M79"/>
    <mergeCell ref="C21:F21"/>
    <mergeCell ref="C48:F48"/>
    <mergeCell ref="E15:E17"/>
    <mergeCell ref="G77:I77"/>
    <mergeCell ref="G78:L78"/>
  </mergeCells>
  <phoneticPr fontId="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2013-12-19T19:13:44Z</dcterms:created>
  <dcterms:modified xsi:type="dcterms:W3CDTF">2013-12-19T19:14:34Z</dcterms:modified>
</cp:coreProperties>
</file>