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autoCompressPictures="0" defaultThemeVersion="124226"/>
  <bookViews>
    <workbookView xWindow="105" yWindow="60" windowWidth="24240" windowHeight="13680"/>
  </bookViews>
  <sheets>
    <sheet name="Answer" sheetId="3" r:id="rId1"/>
    <sheet name="Mortgage" sheetId="2" r:id="rId2"/>
    <sheet name="Beta" sheetId="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7" i="3" l="1"/>
  <c r="C51" i="4"/>
  <c r="B159" i="3"/>
  <c r="M161" i="3"/>
  <c r="M160" i="3"/>
  <c r="O160" i="3"/>
  <c r="O158" i="3"/>
  <c r="M158" i="3"/>
  <c r="D43" i="3"/>
  <c r="E43" i="3"/>
  <c r="F43" i="3"/>
  <c r="G43" i="3"/>
  <c r="H43" i="3"/>
  <c r="I43" i="3"/>
  <c r="J43" i="3"/>
  <c r="K43" i="3"/>
  <c r="L43" i="3"/>
  <c r="M43" i="3"/>
  <c r="D42" i="3"/>
  <c r="E42" i="3"/>
  <c r="F42" i="3"/>
  <c r="F85" i="3" s="1"/>
  <c r="G42" i="3"/>
  <c r="H42" i="3"/>
  <c r="I42" i="3"/>
  <c r="J42" i="3"/>
  <c r="K42" i="3"/>
  <c r="L42" i="3"/>
  <c r="M42" i="3"/>
  <c r="C43" i="3"/>
  <c r="C86" i="3" s="1"/>
  <c r="C42" i="3"/>
  <c r="D86" i="3"/>
  <c r="E86" i="3"/>
  <c r="F86" i="3"/>
  <c r="G86" i="3"/>
  <c r="H86" i="3"/>
  <c r="I86" i="3"/>
  <c r="J86" i="3"/>
  <c r="K86" i="3"/>
  <c r="L86" i="3"/>
  <c r="M86" i="3"/>
  <c r="D85" i="3"/>
  <c r="E85" i="3"/>
  <c r="G85" i="3"/>
  <c r="H85" i="3"/>
  <c r="I85" i="3"/>
  <c r="J85" i="3"/>
  <c r="K85" i="3"/>
  <c r="L85" i="3"/>
  <c r="M85" i="3"/>
  <c r="C85" i="3"/>
  <c r="C53" i="4"/>
  <c r="C58" i="4" s="1"/>
  <c r="C36" i="4"/>
  <c r="C41" i="4" s="1"/>
  <c r="C19" i="4"/>
  <c r="C24" i="4" s="1"/>
  <c r="C15" i="4"/>
  <c r="B157" i="3" l="1"/>
  <c r="A2" i="4"/>
  <c r="B2" i="4" s="1"/>
  <c r="D139" i="3" s="1"/>
  <c r="C49" i="4"/>
  <c r="C32" i="4"/>
  <c r="L99" i="3" l="1"/>
  <c r="D99" i="3"/>
  <c r="E99" i="3"/>
  <c r="F99" i="3"/>
  <c r="G99" i="3"/>
  <c r="H99" i="3"/>
  <c r="I99" i="3"/>
  <c r="J99" i="3"/>
  <c r="K99" i="3"/>
  <c r="G126" i="3"/>
  <c r="I4" i="2"/>
  <c r="E3" i="2" s="1"/>
  <c r="E5" i="2"/>
  <c r="E9" i="2"/>
  <c r="E13" i="2"/>
  <c r="E16" i="2"/>
  <c r="E17" i="2"/>
  <c r="E21" i="2"/>
  <c r="E25" i="2"/>
  <c r="E33" i="2"/>
  <c r="E37" i="2"/>
  <c r="E41" i="2"/>
  <c r="E44" i="2"/>
  <c r="E48" i="2"/>
  <c r="E52" i="2"/>
  <c r="A168" i="3"/>
  <c r="A167" i="3"/>
  <c r="C164" i="3"/>
  <c r="A166" i="3"/>
  <c r="A165" i="3"/>
  <c r="C79" i="3"/>
  <c r="C7" i="3"/>
  <c r="C5" i="3" s="1"/>
  <c r="C8" i="3" s="1"/>
  <c r="C54" i="3" s="1"/>
  <c r="C58" i="3"/>
  <c r="C82" i="3" s="1"/>
  <c r="C166" i="3" s="1"/>
  <c r="C28" i="3"/>
  <c r="E27" i="3" s="1"/>
  <c r="E65" i="3" s="1"/>
  <c r="G27" i="3"/>
  <c r="K27" i="3"/>
  <c r="C44" i="3"/>
  <c r="C87" i="3" s="1"/>
  <c r="D44" i="3"/>
  <c r="D67" i="3" s="1"/>
  <c r="E44" i="3"/>
  <c r="F44" i="3"/>
  <c r="G44" i="3"/>
  <c r="G67" i="3" s="1"/>
  <c r="H44" i="3"/>
  <c r="H67" i="3" s="1"/>
  <c r="I44" i="3"/>
  <c r="J44" i="3"/>
  <c r="K44" i="3"/>
  <c r="L44" i="3"/>
  <c r="M44" i="3"/>
  <c r="D7" i="3"/>
  <c r="D149" i="3"/>
  <c r="D153" i="3" s="1"/>
  <c r="E149" i="3"/>
  <c r="E153" i="3" s="1"/>
  <c r="F149" i="3"/>
  <c r="F153" i="3" s="1"/>
  <c r="G149" i="3"/>
  <c r="G153" i="3" s="1"/>
  <c r="I149" i="3"/>
  <c r="I153" i="3" s="1"/>
  <c r="J149" i="3"/>
  <c r="J153" i="3" s="1"/>
  <c r="K149" i="3"/>
  <c r="K153" i="3" s="1"/>
  <c r="L149" i="3"/>
  <c r="L153" i="3" s="1"/>
  <c r="M149" i="3"/>
  <c r="M153" i="3" s="1"/>
  <c r="D4" i="3"/>
  <c r="D11" i="3"/>
  <c r="D13" i="3"/>
  <c r="D17" i="3"/>
  <c r="E17" i="3" s="1"/>
  <c r="F17" i="3" s="1"/>
  <c r="D19" i="3"/>
  <c r="E19" i="3" s="1"/>
  <c r="D12" i="3"/>
  <c r="E12" i="3" s="1"/>
  <c r="D18" i="3"/>
  <c r="E11" i="3"/>
  <c r="F11" i="3" s="1"/>
  <c r="G11" i="3" s="1"/>
  <c r="E18" i="3"/>
  <c r="F18" i="3" s="1"/>
  <c r="F19" i="3"/>
  <c r="F12" i="3"/>
  <c r="G12" i="3" s="1"/>
  <c r="H12" i="3" s="1"/>
  <c r="G19" i="3"/>
  <c r="H19" i="3" s="1"/>
  <c r="I19" i="3" s="1"/>
  <c r="J19" i="3" s="1"/>
  <c r="K19" i="3" s="1"/>
  <c r="L19" i="3" s="1"/>
  <c r="M19" i="3" s="1"/>
  <c r="G18" i="3"/>
  <c r="H18" i="3" s="1"/>
  <c r="I18" i="3" s="1"/>
  <c r="J18" i="3" s="1"/>
  <c r="K18" i="3" s="1"/>
  <c r="L18" i="3" s="1"/>
  <c r="M18" i="3" s="1"/>
  <c r="C149" i="3"/>
  <c r="C153" i="3" s="1"/>
  <c r="D24" i="3"/>
  <c r="D61" i="3" s="1"/>
  <c r="E24" i="3"/>
  <c r="F24" i="3"/>
  <c r="F61" i="3" s="1"/>
  <c r="G24" i="3"/>
  <c r="H24" i="3"/>
  <c r="H61" i="3" s="1"/>
  <c r="I24" i="3"/>
  <c r="J24" i="3"/>
  <c r="K24" i="3"/>
  <c r="L24" i="3"/>
  <c r="L61" i="3" s="1"/>
  <c r="M24" i="3"/>
  <c r="C24" i="3"/>
  <c r="C61" i="3" s="1"/>
  <c r="C67" i="3"/>
  <c r="C99" i="3"/>
  <c r="E61" i="2"/>
  <c r="E65" i="2"/>
  <c r="E69" i="2"/>
  <c r="E72" i="2"/>
  <c r="E76" i="2"/>
  <c r="E80" i="2"/>
  <c r="E87" i="2"/>
  <c r="E91" i="2"/>
  <c r="E95" i="2"/>
  <c r="E100" i="2"/>
  <c r="E102" i="2"/>
  <c r="E104" i="2"/>
  <c r="E106" i="2"/>
  <c r="E108" i="2"/>
  <c r="E110" i="2"/>
  <c r="E115" i="2"/>
  <c r="E117" i="2"/>
  <c r="E119" i="2"/>
  <c r="E121" i="2"/>
  <c r="E123" i="2"/>
  <c r="E125" i="2"/>
  <c r="E128" i="2"/>
  <c r="E130" i="2"/>
  <c r="E131" i="2"/>
  <c r="E132" i="2"/>
  <c r="E133" i="2"/>
  <c r="E134" i="2"/>
  <c r="E135" i="2"/>
  <c r="E136" i="2"/>
  <c r="E137" i="2"/>
  <c r="E138" i="2"/>
  <c r="E139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G61" i="3"/>
  <c r="G65" i="3"/>
  <c r="E61" i="3"/>
  <c r="E67" i="3"/>
  <c r="F67" i="3"/>
  <c r="I61" i="3"/>
  <c r="I67" i="3"/>
  <c r="D47" i="3"/>
  <c r="E47" i="3" s="1"/>
  <c r="D50" i="3"/>
  <c r="D79" i="3" s="1"/>
  <c r="D164" i="3" s="1"/>
  <c r="M61" i="3"/>
  <c r="M67" i="3"/>
  <c r="M99" i="3"/>
  <c r="J61" i="3"/>
  <c r="J67" i="3"/>
  <c r="K61" i="3"/>
  <c r="K67" i="3"/>
  <c r="K65" i="3"/>
  <c r="L67" i="3"/>
  <c r="D2" i="2"/>
  <c r="D132" i="3"/>
  <c r="D120" i="3"/>
  <c r="D122" i="3" s="1"/>
  <c r="H136" i="3" s="1"/>
  <c r="C94" i="3"/>
  <c r="C167" i="3" s="1"/>
  <c r="C104" i="3"/>
  <c r="D136" i="3" s="1"/>
  <c r="A64" i="3"/>
  <c r="A63" i="3"/>
  <c r="A62" i="3"/>
  <c r="H149" i="3" l="1"/>
  <c r="H153" i="3" s="1"/>
  <c r="C88" i="3"/>
  <c r="D87" i="3"/>
  <c r="E87" i="3" s="1"/>
  <c r="E50" i="3"/>
  <c r="E79" i="3" s="1"/>
  <c r="E164" i="3" s="1"/>
  <c r="I12" i="3"/>
  <c r="H11" i="3"/>
  <c r="F47" i="3"/>
  <c r="E104" i="3"/>
  <c r="D104" i="3"/>
  <c r="E129" i="2"/>
  <c r="E124" i="2"/>
  <c r="E122" i="2"/>
  <c r="E120" i="2"/>
  <c r="E118" i="2"/>
  <c r="E116" i="2"/>
  <c r="E114" i="2"/>
  <c r="E111" i="2"/>
  <c r="E109" i="2"/>
  <c r="E107" i="2"/>
  <c r="E105" i="2"/>
  <c r="E103" i="2"/>
  <c r="E101" i="2"/>
  <c r="E97" i="2"/>
  <c r="E93" i="2"/>
  <c r="E89" i="2"/>
  <c r="E82" i="2"/>
  <c r="E78" i="2"/>
  <c r="E74" i="2"/>
  <c r="E67" i="2"/>
  <c r="E63" i="2"/>
  <c r="E59" i="2"/>
  <c r="E13" i="3"/>
  <c r="F13" i="3" s="1"/>
  <c r="G13" i="3" s="1"/>
  <c r="H13" i="3" s="1"/>
  <c r="I13" i="3" s="1"/>
  <c r="J13" i="3" s="1"/>
  <c r="K13" i="3" s="1"/>
  <c r="L13" i="3" s="1"/>
  <c r="M13" i="3" s="1"/>
  <c r="D5" i="3"/>
  <c r="E7" i="3"/>
  <c r="M27" i="3"/>
  <c r="M65" i="3" s="1"/>
  <c r="I27" i="3"/>
  <c r="I65" i="3" s="1"/>
  <c r="C14" i="3"/>
  <c r="C20" i="3"/>
  <c r="C39" i="3" s="1"/>
  <c r="C66" i="3" s="1"/>
  <c r="E54" i="2"/>
  <c r="E50" i="2"/>
  <c r="E46" i="2"/>
  <c r="E39" i="2"/>
  <c r="E35" i="2"/>
  <c r="E31" i="2"/>
  <c r="E30" i="2"/>
  <c r="E27" i="2"/>
  <c r="E23" i="2"/>
  <c r="E19" i="2"/>
  <c r="E11" i="2"/>
  <c r="E7" i="2"/>
  <c r="G17" i="3"/>
  <c r="D8" i="3"/>
  <c r="E4" i="3"/>
  <c r="D27" i="3"/>
  <c r="D65" i="3" s="1"/>
  <c r="F27" i="3"/>
  <c r="F65" i="3" s="1"/>
  <c r="H27" i="3"/>
  <c r="H65" i="3" s="1"/>
  <c r="J27" i="3"/>
  <c r="J65" i="3" s="1"/>
  <c r="L27" i="3"/>
  <c r="L65" i="3" s="1"/>
  <c r="C27" i="3"/>
  <c r="C65" i="3" s="1"/>
  <c r="C81" i="3"/>
  <c r="C165" i="3" s="1"/>
  <c r="C35" i="3"/>
  <c r="C64" i="3" s="1"/>
  <c r="E2" i="2"/>
  <c r="C2" i="2" s="1"/>
  <c r="E4" i="2"/>
  <c r="E6" i="2"/>
  <c r="E8" i="2"/>
  <c r="E10" i="2"/>
  <c r="E12" i="2"/>
  <c r="E18" i="2"/>
  <c r="E20" i="2"/>
  <c r="E22" i="2"/>
  <c r="E24" i="2"/>
  <c r="E26" i="2"/>
  <c r="E32" i="2"/>
  <c r="E34" i="2"/>
  <c r="E36" i="2"/>
  <c r="E38" i="2"/>
  <c r="E40" i="2"/>
  <c r="E45" i="2"/>
  <c r="E47" i="2"/>
  <c r="E49" i="2"/>
  <c r="E51" i="2"/>
  <c r="E53" i="2"/>
  <c r="E55" i="2"/>
  <c r="E58" i="2"/>
  <c r="E60" i="2"/>
  <c r="E62" i="2"/>
  <c r="E64" i="2"/>
  <c r="E66" i="2"/>
  <c r="E68" i="2"/>
  <c r="E73" i="2"/>
  <c r="E75" i="2"/>
  <c r="E77" i="2"/>
  <c r="E79" i="2"/>
  <c r="E81" i="2"/>
  <c r="E83" i="2"/>
  <c r="E86" i="2"/>
  <c r="E88" i="2"/>
  <c r="E90" i="2"/>
  <c r="E92" i="2"/>
  <c r="E94" i="2"/>
  <c r="E96" i="2"/>
  <c r="C83" i="3"/>
  <c r="D88" i="3" l="1"/>
  <c r="F87" i="3"/>
  <c r="E88" i="3"/>
  <c r="F50" i="3"/>
  <c r="F79" i="3" s="1"/>
  <c r="F2" i="2"/>
  <c r="B3" i="2" s="1"/>
  <c r="D54" i="3"/>
  <c r="D35" i="3"/>
  <c r="D64" i="3" s="1"/>
  <c r="D81" i="3"/>
  <c r="F4" i="3"/>
  <c r="H17" i="3"/>
  <c r="C31" i="3"/>
  <c r="C56" i="3"/>
  <c r="E5" i="3"/>
  <c r="E8" i="3" s="1"/>
  <c r="F7" i="3"/>
  <c r="E14" i="3"/>
  <c r="G50" i="3"/>
  <c r="G47" i="3"/>
  <c r="F104" i="3"/>
  <c r="J12" i="3"/>
  <c r="C90" i="3"/>
  <c r="C33" i="3"/>
  <c r="C63" i="3" s="1"/>
  <c r="C55" i="3"/>
  <c r="D20" i="3"/>
  <c r="D58" i="3"/>
  <c r="D14" i="3"/>
  <c r="I11" i="3"/>
  <c r="G87" i="3" l="1"/>
  <c r="F88" i="3"/>
  <c r="D55" i="3"/>
  <c r="D57" i="3" s="1"/>
  <c r="D59" i="3" s="1"/>
  <c r="D33" i="3"/>
  <c r="D63" i="3" s="1"/>
  <c r="D56" i="3"/>
  <c r="D31" i="3"/>
  <c r="K12" i="3"/>
  <c r="G104" i="3"/>
  <c r="H47" i="3"/>
  <c r="F164" i="3"/>
  <c r="F5" i="3"/>
  <c r="G7" i="3"/>
  <c r="I17" i="3"/>
  <c r="E54" i="3"/>
  <c r="E81" i="3"/>
  <c r="E35" i="3"/>
  <c r="E64" i="3" s="1"/>
  <c r="D165" i="3"/>
  <c r="D3" i="2"/>
  <c r="J11" i="3"/>
  <c r="D94" i="3"/>
  <c r="D82" i="3"/>
  <c r="D166" i="3" s="1"/>
  <c r="C57" i="3"/>
  <c r="C59" i="3" s="1"/>
  <c r="G79" i="3"/>
  <c r="H50" i="3"/>
  <c r="E55" i="3"/>
  <c r="E33" i="3"/>
  <c r="E63" i="3" s="1"/>
  <c r="E20" i="3"/>
  <c r="E58" i="3"/>
  <c r="C62" i="3"/>
  <c r="C37" i="3"/>
  <c r="F8" i="3"/>
  <c r="G4" i="3"/>
  <c r="D39" i="3"/>
  <c r="D66" i="3" s="1"/>
  <c r="G88" i="3" l="1"/>
  <c r="H87" i="3"/>
  <c r="F54" i="3"/>
  <c r="F35" i="3"/>
  <c r="F64" i="3" s="1"/>
  <c r="F81" i="3"/>
  <c r="E56" i="3"/>
  <c r="E31" i="3"/>
  <c r="G164" i="3"/>
  <c r="K11" i="3"/>
  <c r="C3" i="2"/>
  <c r="D83" i="3"/>
  <c r="E39" i="3"/>
  <c r="E66" i="3" s="1"/>
  <c r="G5" i="3"/>
  <c r="G8" i="3" s="1"/>
  <c r="H7" i="3"/>
  <c r="I47" i="3"/>
  <c r="H104" i="3"/>
  <c r="D62" i="3"/>
  <c r="D37" i="3"/>
  <c r="D148" i="3"/>
  <c r="D150" i="3" s="1"/>
  <c r="H4" i="3"/>
  <c r="E94" i="3"/>
  <c r="E82" i="3"/>
  <c r="E166" i="3" s="1"/>
  <c r="H79" i="3"/>
  <c r="I50" i="3"/>
  <c r="C148" i="3"/>
  <c r="C150" i="3" s="1"/>
  <c r="D167" i="3"/>
  <c r="E165" i="3"/>
  <c r="E83" i="3"/>
  <c r="E57" i="3"/>
  <c r="E59" i="3" s="1"/>
  <c r="J17" i="3"/>
  <c r="F14" i="3"/>
  <c r="F20" i="3"/>
  <c r="F58" i="3"/>
  <c r="L12" i="3"/>
  <c r="I87" i="3" l="1"/>
  <c r="H88" i="3"/>
  <c r="F56" i="3"/>
  <c r="F31" i="3"/>
  <c r="K17" i="3"/>
  <c r="E148" i="3"/>
  <c r="E150" i="3" s="1"/>
  <c r="C151" i="3"/>
  <c r="C168" i="3" s="1"/>
  <c r="H164" i="3"/>
  <c r="E167" i="3"/>
  <c r="G54" i="3"/>
  <c r="G35" i="3"/>
  <c r="G64" i="3" s="1"/>
  <c r="G81" i="3"/>
  <c r="I104" i="3"/>
  <c r="J47" i="3"/>
  <c r="G58" i="3"/>
  <c r="G20" i="3"/>
  <c r="G14" i="3"/>
  <c r="D90" i="3"/>
  <c r="F3" i="2"/>
  <c r="B4" i="2" s="1"/>
  <c r="F165" i="3"/>
  <c r="M12" i="3"/>
  <c r="F82" i="3"/>
  <c r="F166" i="3" s="1"/>
  <c r="F94" i="3"/>
  <c r="F33" i="3"/>
  <c r="F63" i="3" s="1"/>
  <c r="F55" i="3"/>
  <c r="E90" i="3"/>
  <c r="I79" i="3"/>
  <c r="J50" i="3"/>
  <c r="I4" i="3"/>
  <c r="D151" i="3"/>
  <c r="D152" i="3" s="1"/>
  <c r="D154" i="3" s="1"/>
  <c r="H5" i="3"/>
  <c r="I7" i="3"/>
  <c r="L11" i="3"/>
  <c r="E62" i="3"/>
  <c r="E37" i="3"/>
  <c r="F39" i="3"/>
  <c r="F66" i="3" s="1"/>
  <c r="I88" i="3" l="1"/>
  <c r="J87" i="3"/>
  <c r="F57" i="3"/>
  <c r="F59" i="3" s="1"/>
  <c r="F148" i="3" s="1"/>
  <c r="F150" i="3" s="1"/>
  <c r="H58" i="3"/>
  <c r="H14" i="3"/>
  <c r="H20" i="3"/>
  <c r="H8" i="3"/>
  <c r="I164" i="3"/>
  <c r="G56" i="3"/>
  <c r="G31" i="3"/>
  <c r="J104" i="3"/>
  <c r="K47" i="3"/>
  <c r="E151" i="3"/>
  <c r="E168" i="3" s="1"/>
  <c r="L17" i="3"/>
  <c r="M11" i="3"/>
  <c r="J7" i="3"/>
  <c r="I5" i="3"/>
  <c r="D168" i="3"/>
  <c r="D177" i="3" s="1"/>
  <c r="J4" i="3"/>
  <c r="I8" i="3"/>
  <c r="J79" i="3"/>
  <c r="K50" i="3"/>
  <c r="F167" i="3"/>
  <c r="F83" i="3"/>
  <c r="D4" i="2"/>
  <c r="G55" i="3"/>
  <c r="G33" i="3"/>
  <c r="G63" i="3" s="1"/>
  <c r="G82" i="3"/>
  <c r="G166" i="3" s="1"/>
  <c r="G94" i="3"/>
  <c r="G165" i="3"/>
  <c r="G39" i="3"/>
  <c r="G66" i="3" s="1"/>
  <c r="C152" i="3"/>
  <c r="C154" i="3" s="1"/>
  <c r="C177" i="3" s="1"/>
  <c r="F62" i="3"/>
  <c r="F37" i="3"/>
  <c r="K87" i="3" l="1"/>
  <c r="J88" i="3"/>
  <c r="G57" i="3"/>
  <c r="G59" i="3" s="1"/>
  <c r="G148" i="3" s="1"/>
  <c r="G150" i="3" s="1"/>
  <c r="K79" i="3"/>
  <c r="L50" i="3"/>
  <c r="I54" i="3"/>
  <c r="I35" i="3"/>
  <c r="I64" i="3" s="1"/>
  <c r="I81" i="3"/>
  <c r="J5" i="3"/>
  <c r="J8" i="3" s="1"/>
  <c r="K7" i="3"/>
  <c r="L47" i="3"/>
  <c r="K104" i="3"/>
  <c r="G62" i="3"/>
  <c r="G37" i="3"/>
  <c r="H55" i="3"/>
  <c r="H33" i="3"/>
  <c r="H63" i="3" s="1"/>
  <c r="F151" i="3"/>
  <c r="F168" i="3" s="1"/>
  <c r="G83" i="3"/>
  <c r="G167" i="3"/>
  <c r="C4" i="2"/>
  <c r="F90" i="3"/>
  <c r="J164" i="3"/>
  <c r="K4" i="3"/>
  <c r="I58" i="3"/>
  <c r="I14" i="3"/>
  <c r="I20" i="3"/>
  <c r="M17" i="3"/>
  <c r="E152" i="3"/>
  <c r="E154" i="3" s="1"/>
  <c r="E177" i="3" s="1"/>
  <c r="H54" i="3"/>
  <c r="H35" i="3"/>
  <c r="H64" i="3" s="1"/>
  <c r="H39" i="3"/>
  <c r="H66" i="3" s="1"/>
  <c r="H81" i="3"/>
  <c r="H56" i="3"/>
  <c r="H31" i="3"/>
  <c r="H82" i="3"/>
  <c r="H166" i="3" s="1"/>
  <c r="H94" i="3"/>
  <c r="F152" i="3" l="1"/>
  <c r="F154" i="3" s="1"/>
  <c r="F177" i="3" s="1"/>
  <c r="K88" i="3"/>
  <c r="L87" i="3"/>
  <c r="H167" i="3"/>
  <c r="H62" i="3"/>
  <c r="H37" i="3"/>
  <c r="I56" i="3"/>
  <c r="I31" i="3"/>
  <c r="I94" i="3"/>
  <c r="I82" i="3"/>
  <c r="I166" i="3" s="1"/>
  <c r="J35" i="3"/>
  <c r="J64" i="3" s="1"/>
  <c r="J81" i="3"/>
  <c r="J54" i="3"/>
  <c r="F4" i="2"/>
  <c r="B5" i="2" s="1"/>
  <c r="M47" i="3"/>
  <c r="M104" i="3" s="1"/>
  <c r="L104" i="3"/>
  <c r="K164" i="3"/>
  <c r="G151" i="3"/>
  <c r="G168" i="3" s="1"/>
  <c r="H57" i="3"/>
  <c r="H59" i="3" s="1"/>
  <c r="I55" i="3"/>
  <c r="I33" i="3"/>
  <c r="I63" i="3" s="1"/>
  <c r="L4" i="3"/>
  <c r="G90" i="3"/>
  <c r="K5" i="3"/>
  <c r="L7" i="3"/>
  <c r="I165" i="3"/>
  <c r="I39" i="3"/>
  <c r="I66" i="3" s="1"/>
  <c r="L79" i="3"/>
  <c r="M50" i="3"/>
  <c r="M79" i="3" s="1"/>
  <c r="H165" i="3"/>
  <c r="H83" i="3"/>
  <c r="J58" i="3"/>
  <c r="J14" i="3"/>
  <c r="J20" i="3"/>
  <c r="M87" i="3" l="1"/>
  <c r="L88" i="3"/>
  <c r="I57" i="3"/>
  <c r="I59" i="3" s="1"/>
  <c r="I83" i="3"/>
  <c r="I90" i="3" s="1"/>
  <c r="I148" i="3"/>
  <c r="I150" i="3" s="1"/>
  <c r="J56" i="3"/>
  <c r="J31" i="3"/>
  <c r="L164" i="3"/>
  <c r="L5" i="3"/>
  <c r="M7" i="3"/>
  <c r="M5" i="3" s="1"/>
  <c r="H148" i="3"/>
  <c r="H150" i="3" s="1"/>
  <c r="J55" i="3"/>
  <c r="J57" i="3" s="1"/>
  <c r="J59" i="3" s="1"/>
  <c r="J33" i="3"/>
  <c r="J63" i="3" s="1"/>
  <c r="H90" i="3"/>
  <c r="M171" i="3"/>
  <c r="M164" i="3"/>
  <c r="K58" i="3"/>
  <c r="K14" i="3"/>
  <c r="K20" i="3"/>
  <c r="K8" i="3"/>
  <c r="G152" i="3"/>
  <c r="G154" i="3" s="1"/>
  <c r="G177" i="3" s="1"/>
  <c r="D5" i="2"/>
  <c r="J39" i="3"/>
  <c r="J66" i="3" s="1"/>
  <c r="J165" i="3"/>
  <c r="I62" i="3"/>
  <c r="I37" i="3"/>
  <c r="J94" i="3"/>
  <c r="J82" i="3"/>
  <c r="J166" i="3" s="1"/>
  <c r="L8" i="3"/>
  <c r="M4" i="3"/>
  <c r="I167" i="3"/>
  <c r="M88" i="3" l="1"/>
  <c r="M8" i="3"/>
  <c r="M35" i="3" s="1"/>
  <c r="M64" i="3" s="1"/>
  <c r="J83" i="3"/>
  <c r="L54" i="3"/>
  <c r="L35" i="3"/>
  <c r="L64" i="3" s="1"/>
  <c r="L81" i="3"/>
  <c r="J90" i="3"/>
  <c r="K54" i="3"/>
  <c r="K39" i="3"/>
  <c r="K66" i="3" s="1"/>
  <c r="K81" i="3"/>
  <c r="K35" i="3"/>
  <c r="K64" i="3" s="1"/>
  <c r="K33" i="3"/>
  <c r="K63" i="3" s="1"/>
  <c r="K55" i="3"/>
  <c r="H151" i="3"/>
  <c r="H168" i="3" s="1"/>
  <c r="L58" i="3"/>
  <c r="L14" i="3"/>
  <c r="L20" i="3"/>
  <c r="M54" i="3"/>
  <c r="M81" i="3"/>
  <c r="K56" i="3"/>
  <c r="K31" i="3"/>
  <c r="K82" i="3"/>
  <c r="K166" i="3" s="1"/>
  <c r="K94" i="3"/>
  <c r="M58" i="3"/>
  <c r="M14" i="3"/>
  <c r="M20" i="3"/>
  <c r="J62" i="3"/>
  <c r="J37" i="3"/>
  <c r="J148" i="3"/>
  <c r="J150" i="3" s="1"/>
  <c r="J167" i="3"/>
  <c r="C5" i="2"/>
  <c r="I151" i="3"/>
  <c r="I168" i="3" l="1"/>
  <c r="I152" i="3"/>
  <c r="I154" i="3" s="1"/>
  <c r="F5" i="2"/>
  <c r="B6" i="2" s="1"/>
  <c r="J151" i="3"/>
  <c r="J168" i="3" s="1"/>
  <c r="M55" i="3"/>
  <c r="M33" i="3"/>
  <c r="M63" i="3" s="1"/>
  <c r="K167" i="3"/>
  <c r="K62" i="3"/>
  <c r="K37" i="3"/>
  <c r="L55" i="3"/>
  <c r="L33" i="3"/>
  <c r="L63" i="3" s="1"/>
  <c r="L165" i="3"/>
  <c r="L39" i="3"/>
  <c r="L66" i="3" s="1"/>
  <c r="M56" i="3"/>
  <c r="M31" i="3"/>
  <c r="M82" i="3"/>
  <c r="M94" i="3"/>
  <c r="M172" i="3"/>
  <c r="M165" i="3"/>
  <c r="M83" i="3"/>
  <c r="M39" i="3"/>
  <c r="M66" i="3" s="1"/>
  <c r="L56" i="3"/>
  <c r="L31" i="3"/>
  <c r="L82" i="3"/>
  <c r="L166" i="3" s="1"/>
  <c r="L94" i="3"/>
  <c r="H152" i="3"/>
  <c r="H154" i="3" s="1"/>
  <c r="H177" i="3" s="1"/>
  <c r="K165" i="3"/>
  <c r="K83" i="3"/>
  <c r="K57" i="3"/>
  <c r="K59" i="3" s="1"/>
  <c r="L57" i="3"/>
  <c r="L59" i="3" s="1"/>
  <c r="M57" i="3" l="1"/>
  <c r="M59" i="3" s="1"/>
  <c r="M148" i="3" s="1"/>
  <c r="M150" i="3" s="1"/>
  <c r="I177" i="3"/>
  <c r="L148" i="3"/>
  <c r="L150" i="3" s="1"/>
  <c r="K90" i="3"/>
  <c r="M90" i="3"/>
  <c r="M173" i="3"/>
  <c r="M166" i="3"/>
  <c r="L83" i="3"/>
  <c r="D6" i="2"/>
  <c r="C6" i="2" s="1"/>
  <c r="K148" i="3"/>
  <c r="K150" i="3" s="1"/>
  <c r="L167" i="3"/>
  <c r="L37" i="3"/>
  <c r="L62" i="3"/>
  <c r="M174" i="3"/>
  <c r="M167" i="3"/>
  <c r="M62" i="3"/>
  <c r="M37" i="3"/>
  <c r="J152" i="3"/>
  <c r="J154" i="3" s="1"/>
  <c r="J177" i="3" s="1"/>
  <c r="F6" i="2" l="1"/>
  <c r="B7" i="2" s="1"/>
  <c r="K151" i="3"/>
  <c r="K168" i="3" s="1"/>
  <c r="L90" i="3"/>
  <c r="L151" i="3"/>
  <c r="L152" i="3" s="1"/>
  <c r="L154" i="3" s="1"/>
  <c r="M151" i="3"/>
  <c r="M152" i="3" s="1"/>
  <c r="M154" i="3" s="1"/>
  <c r="L168" i="3" l="1"/>
  <c r="L177" i="3" s="1"/>
  <c r="K152" i="3"/>
  <c r="K154" i="3" s="1"/>
  <c r="K177" i="3" s="1"/>
  <c r="D7" i="2"/>
  <c r="C7" i="2" s="1"/>
  <c r="F7" i="2" s="1"/>
  <c r="B8" i="2" s="1"/>
  <c r="M175" i="3"/>
  <c r="M168" i="3"/>
  <c r="M177" i="3" l="1"/>
  <c r="D8" i="2"/>
  <c r="C8" i="2" s="1"/>
  <c r="F8" i="2" s="1"/>
  <c r="B9" i="2" s="1"/>
  <c r="B182" i="3"/>
  <c r="D9" i="2" l="1"/>
  <c r="C9" i="2" s="1"/>
  <c r="F9" i="2" s="1"/>
  <c r="B10" i="2" s="1"/>
  <c r="D10" i="2" l="1"/>
  <c r="C10" i="2" s="1"/>
  <c r="F10" i="2" s="1"/>
  <c r="B11" i="2" s="1"/>
  <c r="D11" i="2" l="1"/>
  <c r="C11" i="2" s="1"/>
  <c r="F11" i="2" s="1"/>
  <c r="B12" i="2" s="1"/>
  <c r="D12" i="2" l="1"/>
  <c r="C12" i="2" s="1"/>
  <c r="F12" i="2" s="1"/>
  <c r="B13" i="2" s="1"/>
  <c r="D13" i="2" l="1"/>
  <c r="C13" i="2" l="1"/>
  <c r="D14" i="2"/>
  <c r="C68" i="3" s="1"/>
  <c r="C69" i="3" s="1"/>
  <c r="C71" i="3" s="1"/>
  <c r="C72" i="3" s="1"/>
  <c r="C95" i="3" l="1"/>
  <c r="C97" i="3" s="1"/>
  <c r="C73" i="3"/>
  <c r="C14" i="2"/>
  <c r="F13" i="2"/>
  <c r="C103" i="3" l="1"/>
  <c r="C112" i="3" s="1"/>
  <c r="C111" i="3"/>
  <c r="B16" i="2"/>
  <c r="C100" i="3"/>
  <c r="C101" i="3" s="1"/>
  <c r="C109" i="3"/>
  <c r="C106" i="3" l="1"/>
  <c r="C110" i="3"/>
  <c r="D16" i="2"/>
  <c r="C16" i="2" l="1"/>
  <c r="F16" i="2" l="1"/>
  <c r="B17" i="2" s="1"/>
  <c r="D17" i="2" l="1"/>
  <c r="C17" i="2" l="1"/>
  <c r="F17" i="2" l="1"/>
  <c r="B18" i="2" s="1"/>
  <c r="D18" i="2" l="1"/>
  <c r="C18" i="2" l="1"/>
  <c r="F18" i="2" l="1"/>
  <c r="B19" i="2" s="1"/>
  <c r="D19" i="2" l="1"/>
  <c r="C19" i="2" l="1"/>
  <c r="F19" i="2" l="1"/>
  <c r="B20" i="2" s="1"/>
  <c r="D20" i="2" l="1"/>
  <c r="C20" i="2" l="1"/>
  <c r="F20" i="2" l="1"/>
  <c r="B21" i="2" s="1"/>
  <c r="D21" i="2" l="1"/>
  <c r="C21" i="2" s="1"/>
  <c r="F21" i="2" s="1"/>
  <c r="B22" i="2" s="1"/>
  <c r="D22" i="2" l="1"/>
  <c r="C22" i="2" s="1"/>
  <c r="F22" i="2" s="1"/>
  <c r="B23" i="2" s="1"/>
  <c r="D23" i="2" l="1"/>
  <c r="C23" i="2" s="1"/>
  <c r="F23" i="2" s="1"/>
  <c r="B24" i="2" s="1"/>
  <c r="D24" i="2" l="1"/>
  <c r="C24" i="2" s="1"/>
  <c r="F24" i="2" s="1"/>
  <c r="B25" i="2" s="1"/>
  <c r="D25" i="2" l="1"/>
  <c r="C25" i="2" s="1"/>
  <c r="F25" i="2" s="1"/>
  <c r="B26" i="2" s="1"/>
  <c r="D26" i="2" l="1"/>
  <c r="C26" i="2" s="1"/>
  <c r="F26" i="2" s="1"/>
  <c r="B27" i="2" s="1"/>
  <c r="D27" i="2" l="1"/>
  <c r="C27" i="2" l="1"/>
  <c r="D28" i="2"/>
  <c r="D68" i="3" s="1"/>
  <c r="D69" i="3" s="1"/>
  <c r="D71" i="3" s="1"/>
  <c r="D72" i="3" s="1"/>
  <c r="D95" i="3" l="1"/>
  <c r="D97" i="3" s="1"/>
  <c r="D73" i="3"/>
  <c r="C28" i="2"/>
  <c r="F27" i="2"/>
  <c r="B30" i="2" l="1"/>
  <c r="D100" i="3"/>
  <c r="D101" i="3" s="1"/>
  <c r="D111" i="3"/>
  <c r="D103" i="3"/>
  <c r="D109" i="3"/>
  <c r="D106" i="3" l="1"/>
  <c r="D110" i="3"/>
  <c r="D112" i="3"/>
  <c r="D30" i="2"/>
  <c r="C30" i="2" l="1"/>
  <c r="F30" i="2" l="1"/>
  <c r="B31" i="2" s="1"/>
  <c r="D31" i="2" l="1"/>
  <c r="C31" i="2" l="1"/>
  <c r="F31" i="2" l="1"/>
  <c r="B32" i="2" s="1"/>
  <c r="D32" i="2" l="1"/>
  <c r="C32" i="2" l="1"/>
  <c r="F32" i="2" l="1"/>
  <c r="B33" i="2" s="1"/>
  <c r="D33" i="2" l="1"/>
  <c r="C33" i="2" l="1"/>
  <c r="F33" i="2" l="1"/>
  <c r="B34" i="2" s="1"/>
  <c r="D34" i="2" l="1"/>
  <c r="C34" i="2" l="1"/>
  <c r="F34" i="2" l="1"/>
  <c r="B35" i="2" s="1"/>
  <c r="D35" i="2" l="1"/>
  <c r="C35" i="2" s="1"/>
  <c r="F35" i="2" s="1"/>
  <c r="B36" i="2" s="1"/>
  <c r="D36" i="2" l="1"/>
  <c r="C36" i="2" s="1"/>
  <c r="F36" i="2" s="1"/>
  <c r="B37" i="2" s="1"/>
  <c r="D37" i="2" l="1"/>
  <c r="C37" i="2" s="1"/>
  <c r="F37" i="2" s="1"/>
  <c r="B38" i="2" s="1"/>
  <c r="D38" i="2" l="1"/>
  <c r="C38" i="2" s="1"/>
  <c r="F38" i="2" s="1"/>
  <c r="B39" i="2" s="1"/>
  <c r="D39" i="2" l="1"/>
  <c r="C39" i="2" s="1"/>
  <c r="F39" i="2" s="1"/>
  <c r="B40" i="2" s="1"/>
  <c r="D40" i="2" l="1"/>
  <c r="C40" i="2" s="1"/>
  <c r="F40" i="2" s="1"/>
  <c r="B41" i="2" s="1"/>
  <c r="D41" i="2" l="1"/>
  <c r="C41" i="2" l="1"/>
  <c r="D42" i="2"/>
  <c r="E68" i="3" s="1"/>
  <c r="E69" i="3" s="1"/>
  <c r="E71" i="3" s="1"/>
  <c r="E72" i="3" s="1"/>
  <c r="E73" i="3" l="1"/>
  <c r="E95" i="3"/>
  <c r="E97" i="3" s="1"/>
  <c r="C42" i="2"/>
  <c r="F41" i="2"/>
  <c r="E109" i="3" l="1"/>
  <c r="B44" i="2"/>
  <c r="E100" i="3"/>
  <c r="E101" i="3" s="1"/>
  <c r="E111" i="3"/>
  <c r="E103" i="3"/>
  <c r="D44" i="2" l="1"/>
  <c r="E106" i="3"/>
  <c r="E110" i="3"/>
  <c r="E112" i="3"/>
  <c r="C44" i="2" l="1"/>
  <c r="F44" i="2" l="1"/>
  <c r="B45" i="2" s="1"/>
  <c r="D45" i="2" l="1"/>
  <c r="C45" i="2" l="1"/>
  <c r="F45" i="2" l="1"/>
  <c r="B46" i="2" s="1"/>
  <c r="D46" i="2" l="1"/>
  <c r="C46" i="2" l="1"/>
  <c r="F46" i="2" l="1"/>
  <c r="B47" i="2" s="1"/>
  <c r="D47" i="2" l="1"/>
  <c r="C47" i="2" l="1"/>
  <c r="F47" i="2" l="1"/>
  <c r="B48" i="2" s="1"/>
  <c r="D48" i="2" l="1"/>
  <c r="C48" i="2" l="1"/>
  <c r="F48" i="2" l="1"/>
  <c r="B49" i="2" s="1"/>
  <c r="D49" i="2" l="1"/>
  <c r="C49" i="2" s="1"/>
  <c r="F49" i="2" s="1"/>
  <c r="B50" i="2" s="1"/>
  <c r="D50" i="2" l="1"/>
  <c r="C50" i="2" s="1"/>
  <c r="F50" i="2" s="1"/>
  <c r="B51" i="2" s="1"/>
  <c r="D51" i="2" l="1"/>
  <c r="C51" i="2" s="1"/>
  <c r="F51" i="2" s="1"/>
  <c r="B52" i="2" s="1"/>
  <c r="D52" i="2" l="1"/>
  <c r="C52" i="2" s="1"/>
  <c r="F52" i="2" s="1"/>
  <c r="B53" i="2" s="1"/>
  <c r="D53" i="2" l="1"/>
  <c r="C53" i="2" s="1"/>
  <c r="F53" i="2" s="1"/>
  <c r="B54" i="2" s="1"/>
  <c r="D54" i="2" l="1"/>
  <c r="C54" i="2" s="1"/>
  <c r="F54" i="2" s="1"/>
  <c r="B55" i="2" s="1"/>
  <c r="D55" i="2" l="1"/>
  <c r="C55" i="2" l="1"/>
  <c r="D56" i="2"/>
  <c r="F68" i="3" s="1"/>
  <c r="F69" i="3" s="1"/>
  <c r="F71" i="3" s="1"/>
  <c r="F72" i="3" s="1"/>
  <c r="F73" i="3" l="1"/>
  <c r="F95" i="3"/>
  <c r="F97" i="3" s="1"/>
  <c r="C56" i="2"/>
  <c r="F55" i="2"/>
  <c r="F109" i="3" l="1"/>
  <c r="F100" i="3"/>
  <c r="D126" i="3" s="1"/>
  <c r="B58" i="2"/>
  <c r="F111" i="3"/>
  <c r="F103" i="3"/>
  <c r="F112" i="3" s="1"/>
  <c r="F101" i="3" l="1"/>
  <c r="F106" i="3" s="1"/>
  <c r="D128" i="3"/>
  <c r="D135" i="3" s="1"/>
  <c r="D58" i="2"/>
  <c r="F110" i="3" l="1"/>
  <c r="F126" i="3"/>
  <c r="D130" i="3" s="1"/>
  <c r="H135" i="3" s="1"/>
  <c r="C58" i="2"/>
  <c r="D137" i="3"/>
  <c r="F136" i="3" s="1"/>
  <c r="D141" i="3" s="1"/>
  <c r="F135" i="3" l="1"/>
  <c r="D140" i="3" s="1"/>
  <c r="A144" i="3" s="1"/>
  <c r="F58" i="2"/>
  <c r="B59" i="2" s="1"/>
  <c r="B183" i="3" l="1"/>
  <c r="B179" i="3"/>
  <c r="D59" i="2"/>
  <c r="B180" i="3" l="1"/>
  <c r="D180" i="3"/>
  <c r="F180" i="3"/>
  <c r="H180" i="3"/>
  <c r="J180" i="3"/>
  <c r="L180" i="3"/>
  <c r="C180" i="3"/>
  <c r="G180" i="3"/>
  <c r="K180" i="3"/>
  <c r="E180" i="3"/>
  <c r="I180" i="3"/>
  <c r="M180" i="3"/>
  <c r="C59" i="2"/>
  <c r="F59" i="2" l="1"/>
  <c r="B60" i="2" s="1"/>
  <c r="B181" i="3"/>
  <c r="D60" i="2" l="1"/>
  <c r="C60" i="2" l="1"/>
  <c r="F60" i="2" l="1"/>
  <c r="B61" i="2" s="1"/>
  <c r="D61" i="2" l="1"/>
  <c r="C61" i="2" l="1"/>
  <c r="F61" i="2" l="1"/>
  <c r="B62" i="2" s="1"/>
  <c r="D62" i="2" l="1"/>
  <c r="C62" i="2" l="1"/>
  <c r="F62" i="2" l="1"/>
  <c r="B63" i="2" s="1"/>
  <c r="D63" i="2" l="1"/>
  <c r="C63" i="2" s="1"/>
  <c r="F63" i="2" s="1"/>
  <c r="B64" i="2" s="1"/>
  <c r="D64" i="2" l="1"/>
  <c r="C64" i="2" s="1"/>
  <c r="F64" i="2" s="1"/>
  <c r="B65" i="2" s="1"/>
  <c r="D65" i="2" l="1"/>
  <c r="C65" i="2" s="1"/>
  <c r="F65" i="2" s="1"/>
  <c r="B66" i="2" s="1"/>
  <c r="D66" i="2" l="1"/>
  <c r="C66" i="2" s="1"/>
  <c r="F66" i="2" s="1"/>
  <c r="B67" i="2" s="1"/>
  <c r="D67" i="2" l="1"/>
  <c r="C67" i="2" s="1"/>
  <c r="F67" i="2" s="1"/>
  <c r="B68" i="2" s="1"/>
  <c r="D68" i="2" l="1"/>
  <c r="C68" i="2" s="1"/>
  <c r="F68" i="2" s="1"/>
  <c r="B69" i="2" s="1"/>
  <c r="D69" i="2" l="1"/>
  <c r="C69" i="2" l="1"/>
  <c r="D70" i="2"/>
  <c r="G68" i="3" s="1"/>
  <c r="G69" i="3" s="1"/>
  <c r="G71" i="3" s="1"/>
  <c r="G72" i="3" s="1"/>
  <c r="G95" i="3" l="1"/>
  <c r="G97" i="3" s="1"/>
  <c r="G73" i="3"/>
  <c r="C70" i="2"/>
  <c r="F69" i="2"/>
  <c r="G111" i="3" l="1"/>
  <c r="G103" i="3"/>
  <c r="G112" i="3" s="1"/>
  <c r="B72" i="2"/>
  <c r="G100" i="3"/>
  <c r="G101" i="3" s="1"/>
  <c r="G109" i="3"/>
  <c r="G106" i="3" l="1"/>
  <c r="G110" i="3"/>
  <c r="D72" i="2"/>
  <c r="C72" i="2" l="1"/>
  <c r="F72" i="2" l="1"/>
  <c r="B73" i="2" s="1"/>
  <c r="D73" i="2" l="1"/>
  <c r="C73" i="2" l="1"/>
  <c r="F73" i="2" l="1"/>
  <c r="B74" i="2" s="1"/>
  <c r="D74" i="2" l="1"/>
  <c r="C74" i="2" l="1"/>
  <c r="F74" i="2" l="1"/>
  <c r="B75" i="2" s="1"/>
  <c r="D75" i="2" l="1"/>
  <c r="C75" i="2" l="1"/>
  <c r="F75" i="2" l="1"/>
  <c r="B76" i="2" s="1"/>
  <c r="D76" i="2" l="1"/>
  <c r="C76" i="2" l="1"/>
  <c r="F76" i="2" l="1"/>
  <c r="B77" i="2" s="1"/>
  <c r="F77" i="2" l="1"/>
  <c r="B78" i="2" s="1"/>
  <c r="D77" i="2"/>
  <c r="C77" i="2" s="1"/>
  <c r="F78" i="2" l="1"/>
  <c r="B79" i="2" s="1"/>
  <c r="D78" i="2"/>
  <c r="C78" i="2" s="1"/>
  <c r="F79" i="2" l="1"/>
  <c r="B80" i="2" s="1"/>
  <c r="D79" i="2"/>
  <c r="C79" i="2" s="1"/>
  <c r="F80" i="2" l="1"/>
  <c r="B81" i="2" s="1"/>
  <c r="D80" i="2"/>
  <c r="C80" i="2" s="1"/>
  <c r="F81" i="2" l="1"/>
  <c r="B82" i="2" s="1"/>
  <c r="D81" i="2"/>
  <c r="C81" i="2" s="1"/>
  <c r="F82" i="2" l="1"/>
  <c r="B83" i="2" s="1"/>
  <c r="D82" i="2"/>
  <c r="C82" i="2" s="1"/>
  <c r="D83" i="2" l="1"/>
  <c r="C83" i="2" l="1"/>
  <c r="D84" i="2"/>
  <c r="H68" i="3" s="1"/>
  <c r="H69" i="3" s="1"/>
  <c r="H71" i="3" s="1"/>
  <c r="H72" i="3" s="1"/>
  <c r="C84" i="2" l="1"/>
  <c r="F83" i="2"/>
  <c r="H95" i="3"/>
  <c r="H97" i="3" s="1"/>
  <c r="H73" i="3"/>
  <c r="H109" i="3" l="1"/>
  <c r="H111" i="3"/>
  <c r="H103" i="3"/>
  <c r="H112" i="3" s="1"/>
  <c r="B86" i="2"/>
  <c r="H100" i="3"/>
  <c r="H101" i="3" s="1"/>
  <c r="H106" i="3" l="1"/>
  <c r="H110" i="3"/>
  <c r="D86" i="2"/>
  <c r="C86" i="2" l="1"/>
  <c r="F86" i="2" l="1"/>
  <c r="B87" i="2" s="1"/>
  <c r="D87" i="2" l="1"/>
  <c r="C87" i="2" l="1"/>
  <c r="F87" i="2" l="1"/>
  <c r="B88" i="2" s="1"/>
  <c r="D88" i="2" l="1"/>
  <c r="C88" i="2" l="1"/>
  <c r="F88" i="2" l="1"/>
  <c r="B89" i="2" s="1"/>
  <c r="D89" i="2" l="1"/>
  <c r="C89" i="2" l="1"/>
  <c r="F89" i="2" l="1"/>
  <c r="B90" i="2" s="1"/>
  <c r="D90" i="2" l="1"/>
  <c r="C90" i="2" l="1"/>
  <c r="F90" i="2" l="1"/>
  <c r="B91" i="2" s="1"/>
  <c r="D91" i="2" l="1"/>
  <c r="C91" i="2" s="1"/>
  <c r="F91" i="2" s="1"/>
  <c r="B92" i="2" s="1"/>
  <c r="D92" i="2" l="1"/>
  <c r="C92" i="2" s="1"/>
  <c r="F92" i="2" s="1"/>
  <c r="B93" i="2" s="1"/>
  <c r="D93" i="2" l="1"/>
  <c r="C93" i="2" s="1"/>
  <c r="F93" i="2" s="1"/>
  <c r="B94" i="2" s="1"/>
  <c r="D94" i="2" l="1"/>
  <c r="C94" i="2" s="1"/>
  <c r="F94" i="2" s="1"/>
  <c r="B95" i="2" s="1"/>
  <c r="D95" i="2" l="1"/>
  <c r="C95" i="2" s="1"/>
  <c r="F95" i="2" s="1"/>
  <c r="B96" i="2" s="1"/>
  <c r="D96" i="2" l="1"/>
  <c r="C96" i="2" s="1"/>
  <c r="F96" i="2" s="1"/>
  <c r="B97" i="2" s="1"/>
  <c r="D97" i="2" l="1"/>
  <c r="C97" i="2" l="1"/>
  <c r="D98" i="2"/>
  <c r="I68" i="3" s="1"/>
  <c r="I69" i="3" s="1"/>
  <c r="I71" i="3" s="1"/>
  <c r="I72" i="3" s="1"/>
  <c r="I73" i="3" l="1"/>
  <c r="I95" i="3"/>
  <c r="I97" i="3" s="1"/>
  <c r="C98" i="2"/>
  <c r="F97" i="2"/>
  <c r="I109" i="3" l="1"/>
  <c r="B100" i="2"/>
  <c r="I100" i="3"/>
  <c r="I101" i="3" s="1"/>
  <c r="I111" i="3"/>
  <c r="I103" i="3"/>
  <c r="D100" i="2" l="1"/>
  <c r="I106" i="3"/>
  <c r="I110" i="3"/>
  <c r="I112" i="3"/>
  <c r="C100" i="2" l="1"/>
  <c r="F100" i="2" l="1"/>
  <c r="B101" i="2" s="1"/>
  <c r="D101" i="2" l="1"/>
  <c r="C101" i="2" l="1"/>
  <c r="F101" i="2" l="1"/>
  <c r="B102" i="2" s="1"/>
  <c r="D102" i="2" l="1"/>
  <c r="C102" i="2" l="1"/>
  <c r="F102" i="2" l="1"/>
  <c r="B103" i="2" s="1"/>
  <c r="D103" i="2" l="1"/>
  <c r="C103" i="2" l="1"/>
  <c r="F103" i="2" l="1"/>
  <c r="B104" i="2" s="1"/>
  <c r="D104" i="2" l="1"/>
  <c r="C104" i="2" l="1"/>
  <c r="F104" i="2" l="1"/>
  <c r="B105" i="2" s="1"/>
  <c r="D105" i="2" l="1"/>
  <c r="C105" i="2" s="1"/>
  <c r="F105" i="2" s="1"/>
  <c r="B106" i="2" s="1"/>
  <c r="D106" i="2" l="1"/>
  <c r="C106" i="2" s="1"/>
  <c r="F106" i="2" s="1"/>
  <c r="B107" i="2" s="1"/>
  <c r="D107" i="2" l="1"/>
  <c r="C107" i="2" s="1"/>
  <c r="F107" i="2" s="1"/>
  <c r="B108" i="2" s="1"/>
  <c r="D108" i="2" l="1"/>
  <c r="C108" i="2" s="1"/>
  <c r="F108" i="2" s="1"/>
  <c r="B109" i="2" s="1"/>
  <c r="D109" i="2" l="1"/>
  <c r="C109" i="2" s="1"/>
  <c r="F109" i="2" s="1"/>
  <c r="B110" i="2" s="1"/>
  <c r="D110" i="2" l="1"/>
  <c r="C110" i="2" s="1"/>
  <c r="F110" i="2" s="1"/>
  <c r="B111" i="2" s="1"/>
  <c r="D111" i="2" l="1"/>
  <c r="C111" i="2" l="1"/>
  <c r="D112" i="2"/>
  <c r="J68" i="3" s="1"/>
  <c r="J69" i="3" s="1"/>
  <c r="J71" i="3" s="1"/>
  <c r="J72" i="3" s="1"/>
  <c r="J73" i="3" l="1"/>
  <c r="J95" i="3"/>
  <c r="J97" i="3" s="1"/>
  <c r="C112" i="2"/>
  <c r="F111" i="2"/>
  <c r="J111" i="3" l="1"/>
  <c r="J103" i="3"/>
  <c r="J112" i="3" s="1"/>
  <c r="B114" i="2"/>
  <c r="J100" i="3"/>
  <c r="J101" i="3" s="1"/>
  <c r="J109" i="3"/>
  <c r="J106" i="3" l="1"/>
  <c r="J110" i="3"/>
  <c r="D114" i="2"/>
  <c r="C114" i="2" l="1"/>
  <c r="F114" i="2" l="1"/>
  <c r="B115" i="2" s="1"/>
  <c r="D115" i="2" l="1"/>
  <c r="C115" i="2" l="1"/>
  <c r="F115" i="2" l="1"/>
  <c r="B116" i="2" s="1"/>
  <c r="D116" i="2" l="1"/>
  <c r="C116" i="2" l="1"/>
  <c r="F116" i="2" l="1"/>
  <c r="B117" i="2" s="1"/>
  <c r="D117" i="2" l="1"/>
  <c r="C117" i="2" l="1"/>
  <c r="F117" i="2" l="1"/>
  <c r="B118" i="2" s="1"/>
  <c r="D118" i="2" l="1"/>
  <c r="C118" i="2" l="1"/>
  <c r="F118" i="2" l="1"/>
  <c r="B119" i="2" s="1"/>
  <c r="D119" i="2" l="1"/>
  <c r="C119" i="2" s="1"/>
  <c r="F119" i="2" s="1"/>
  <c r="B120" i="2" s="1"/>
  <c r="D120" i="2" l="1"/>
  <c r="C120" i="2" s="1"/>
  <c r="F120" i="2" s="1"/>
  <c r="B121" i="2" s="1"/>
  <c r="D121" i="2" l="1"/>
  <c r="C121" i="2" s="1"/>
  <c r="F121" i="2" s="1"/>
  <c r="B122" i="2" s="1"/>
  <c r="D122" i="2" l="1"/>
  <c r="C122" i="2" s="1"/>
  <c r="F122" i="2" s="1"/>
  <c r="B123" i="2" s="1"/>
  <c r="D123" i="2" l="1"/>
  <c r="C123" i="2" s="1"/>
  <c r="F123" i="2" s="1"/>
  <c r="B124" i="2" s="1"/>
  <c r="D124" i="2" l="1"/>
  <c r="C124" i="2" s="1"/>
  <c r="F124" i="2" s="1"/>
  <c r="B125" i="2" s="1"/>
  <c r="D125" i="2" l="1"/>
  <c r="C125" i="2" l="1"/>
  <c r="D126" i="2"/>
  <c r="K68" i="3" s="1"/>
  <c r="K69" i="3" s="1"/>
  <c r="K71" i="3" s="1"/>
  <c r="K72" i="3" s="1"/>
  <c r="K95" i="3" l="1"/>
  <c r="K97" i="3" s="1"/>
  <c r="K73" i="3"/>
  <c r="C126" i="2"/>
  <c r="F125" i="2"/>
  <c r="B128" i="2" l="1"/>
  <c r="K100" i="3"/>
  <c r="K101" i="3" s="1"/>
  <c r="K111" i="3"/>
  <c r="K103" i="3"/>
  <c r="K109" i="3"/>
  <c r="D128" i="2" l="1"/>
  <c r="K106" i="3"/>
  <c r="K110" i="3"/>
  <c r="K112" i="3"/>
  <c r="C128" i="2" l="1"/>
  <c r="F128" i="2" l="1"/>
  <c r="B129" i="2" s="1"/>
  <c r="D129" i="2" l="1"/>
  <c r="C129" i="2" l="1"/>
  <c r="F129" i="2" l="1"/>
  <c r="B130" i="2" s="1"/>
  <c r="D130" i="2" l="1"/>
  <c r="C130" i="2" l="1"/>
  <c r="F130" i="2" l="1"/>
  <c r="B131" i="2" s="1"/>
  <c r="D131" i="2" l="1"/>
  <c r="C131" i="2" l="1"/>
  <c r="F131" i="2" l="1"/>
  <c r="B132" i="2" s="1"/>
  <c r="D132" i="2" l="1"/>
  <c r="C132" i="2" l="1"/>
  <c r="F132" i="2" l="1"/>
  <c r="B133" i="2" s="1"/>
  <c r="F133" i="2" l="1"/>
  <c r="B134" i="2" s="1"/>
  <c r="D133" i="2"/>
  <c r="C133" i="2" s="1"/>
  <c r="F134" i="2" l="1"/>
  <c r="B135" i="2" s="1"/>
  <c r="D134" i="2"/>
  <c r="C134" i="2" s="1"/>
  <c r="D135" i="2" l="1"/>
  <c r="C135" i="2" s="1"/>
  <c r="F135" i="2" s="1"/>
  <c r="B136" i="2" s="1"/>
  <c r="F136" i="2" l="1"/>
  <c r="B137" i="2" s="1"/>
  <c r="D136" i="2"/>
  <c r="C136" i="2" s="1"/>
  <c r="F137" i="2" l="1"/>
  <c r="B138" i="2" s="1"/>
  <c r="D137" i="2"/>
  <c r="C137" i="2" s="1"/>
  <c r="F138" i="2" l="1"/>
  <c r="B139" i="2" s="1"/>
  <c r="D138" i="2"/>
  <c r="C138" i="2" s="1"/>
  <c r="D139" i="2" l="1"/>
  <c r="C139" i="2" l="1"/>
  <c r="D140" i="2"/>
  <c r="L68" i="3" s="1"/>
  <c r="L69" i="3" s="1"/>
  <c r="L71" i="3" s="1"/>
  <c r="L72" i="3" s="1"/>
  <c r="L95" i="3" l="1"/>
  <c r="L97" i="3" s="1"/>
  <c r="L73" i="3"/>
  <c r="C140" i="2"/>
  <c r="F139" i="2"/>
  <c r="L109" i="3" l="1"/>
  <c r="B142" i="2"/>
  <c r="L100" i="3"/>
  <c r="L101" i="3" s="1"/>
  <c r="L111" i="3"/>
  <c r="L103" i="3"/>
  <c r="D142" i="2" l="1"/>
  <c r="L112" i="3"/>
  <c r="L106" i="3"/>
  <c r="L110" i="3"/>
  <c r="C142" i="2" l="1"/>
  <c r="F142" i="2" l="1"/>
  <c r="B143" i="2" s="1"/>
  <c r="D143" i="2" l="1"/>
  <c r="C143" i="2" l="1"/>
  <c r="F143" i="2" l="1"/>
  <c r="B144" i="2" s="1"/>
  <c r="D144" i="2" l="1"/>
  <c r="C144" i="2" l="1"/>
  <c r="F144" i="2" l="1"/>
  <c r="B145" i="2" s="1"/>
  <c r="D145" i="2" l="1"/>
  <c r="C145" i="2" l="1"/>
  <c r="F145" i="2" l="1"/>
  <c r="B146" i="2" s="1"/>
  <c r="D146" i="2" l="1"/>
  <c r="C146" i="2" l="1"/>
  <c r="F146" i="2" l="1"/>
  <c r="B147" i="2" s="1"/>
  <c r="D147" i="2" l="1"/>
  <c r="C147" i="2" s="1"/>
  <c r="F147" i="2" s="1"/>
  <c r="B148" i="2" s="1"/>
  <c r="D148" i="2" l="1"/>
  <c r="C148" i="2" s="1"/>
  <c r="F148" i="2" s="1"/>
  <c r="B149" i="2" s="1"/>
  <c r="D149" i="2" l="1"/>
  <c r="C149" i="2" s="1"/>
  <c r="F149" i="2" s="1"/>
  <c r="B150" i="2" s="1"/>
  <c r="D150" i="2" l="1"/>
  <c r="C150" i="2" s="1"/>
  <c r="F150" i="2" s="1"/>
  <c r="B151" i="2" s="1"/>
  <c r="D151" i="2" l="1"/>
  <c r="C151" i="2" s="1"/>
  <c r="F151" i="2" s="1"/>
  <c r="B152" i="2" s="1"/>
  <c r="D152" i="2" l="1"/>
  <c r="C152" i="2" s="1"/>
  <c r="F152" i="2" s="1"/>
  <c r="B153" i="2" s="1"/>
  <c r="D153" i="2" l="1"/>
  <c r="C153" i="2" l="1"/>
  <c r="D154" i="2"/>
  <c r="M68" i="3" s="1"/>
  <c r="M69" i="3" s="1"/>
  <c r="M71" i="3" s="1"/>
  <c r="M72" i="3" s="1"/>
  <c r="M73" i="3" l="1"/>
  <c r="M95" i="3"/>
  <c r="M97" i="3" s="1"/>
  <c r="C154" i="2"/>
  <c r="F153" i="2"/>
  <c r="M100" i="3" s="1"/>
  <c r="M111" i="3" l="1"/>
  <c r="M103" i="3"/>
  <c r="M112" i="3" s="1"/>
  <c r="M101" i="3"/>
  <c r="M109" i="3"/>
  <c r="M106" i="3" l="1"/>
  <c r="M110" i="3"/>
</calcChain>
</file>

<file path=xl/sharedStrings.xml><?xml version="1.0" encoding="utf-8"?>
<sst xmlns="http://schemas.openxmlformats.org/spreadsheetml/2006/main" count="336" uniqueCount="210">
  <si>
    <t>Beg Balance</t>
  </si>
  <si>
    <t>Principal</t>
  </si>
  <si>
    <t xml:space="preserve">Interest </t>
  </si>
  <si>
    <t>Payment</t>
  </si>
  <si>
    <t>End Balance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</si>
  <si>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</si>
  <si>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</si>
  <si>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</si>
  <si>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</si>
  <si>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</si>
  <si>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</si>
  <si>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</si>
  <si>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</si>
  <si>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</si>
  <si>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</si>
  <si>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</si>
  <si>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</si>
  <si>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TOTALS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</si>
  <si>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</si>
  <si>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</si>
  <si>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</si>
  <si>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</si>
  <si>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</si>
  <si>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</si>
  <si>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</si>
  <si>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</si>
  <si>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</si>
  <si>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</si>
  <si>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</si>
  <si>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</si>
  <si>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</si>
  <si>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</si>
  <si>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</si>
  <si>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</si>
  <si>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</si>
  <si>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</si>
  <si>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</si>
  <si>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</si>
  <si>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</si>
  <si>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</si>
  <si>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</si>
  <si>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</si>
  <si>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</si>
  <si>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</si>
  <si>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</si>
  <si>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</si>
  <si>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</si>
  <si>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</si>
  <si>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</si>
  <si>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</si>
  <si>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</si>
  <si>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</si>
  <si>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</si>
  <si>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</si>
  <si>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Rate</t>
  </si>
  <si>
    <t>Term</t>
  </si>
  <si>
    <t>ASSUMPTION:</t>
  </si>
  <si>
    <t>Utilities</t>
  </si>
  <si>
    <t>Equity</t>
  </si>
  <si>
    <t>Bank Loan Interest Rate</t>
  </si>
  <si>
    <t>Income Tax Rate</t>
  </si>
  <si>
    <t>Minimum Cash Balance</t>
  </si>
  <si>
    <t>Income Statement</t>
  </si>
  <si>
    <t>Total Revenue</t>
  </si>
  <si>
    <t>Cost of Goods Sold</t>
  </si>
  <si>
    <t>Gross Profit</t>
  </si>
  <si>
    <t>Utilities Expense</t>
  </si>
  <si>
    <t>Building Maintenance Expense</t>
  </si>
  <si>
    <t>General &amp; Administrative Expense</t>
  </si>
  <si>
    <t>Depreciation Expense</t>
  </si>
  <si>
    <t>Interest Expense</t>
  </si>
  <si>
    <t>Total Expenses</t>
  </si>
  <si>
    <t>Pre-Tax Income</t>
  </si>
  <si>
    <t>Net Income</t>
  </si>
  <si>
    <t>Income Taxes</t>
  </si>
  <si>
    <t>Balance Sheet</t>
  </si>
  <si>
    <t>Assets:</t>
  </si>
  <si>
    <t>Accounts Recievable</t>
  </si>
  <si>
    <t>Inventories</t>
  </si>
  <si>
    <t>Total Current Assets</t>
  </si>
  <si>
    <t>Accumulated Depreciation</t>
  </si>
  <si>
    <t>Net Plant &amp; Equiptment</t>
  </si>
  <si>
    <t>Total Assets</t>
  </si>
  <si>
    <t>Liabilities &amp; Owner's Equity</t>
  </si>
  <si>
    <t>Accounts Payable</t>
  </si>
  <si>
    <t>Total Current Liabilities</t>
  </si>
  <si>
    <t>Bank Loan Interest Payable</t>
  </si>
  <si>
    <t>Bank Loan Payable</t>
  </si>
  <si>
    <t>Long Term Debt</t>
  </si>
  <si>
    <t>Total Liabilities</t>
  </si>
  <si>
    <t>Retained Earnings</t>
  </si>
  <si>
    <t>Total Liabilities &amp; Owner's Equity</t>
  </si>
  <si>
    <t>Owner's Equity</t>
  </si>
  <si>
    <t>Ratios</t>
  </si>
  <si>
    <t>Current Ratio</t>
  </si>
  <si>
    <t>Debt to Equity Ratio</t>
  </si>
  <si>
    <t>ROA</t>
  </si>
  <si>
    <t>ROE</t>
  </si>
  <si>
    <t>Income Tax Payable</t>
  </si>
  <si>
    <t>Bed and Breakfasts in Eastern Idaho</t>
  </si>
  <si>
    <t>Room Rate per Night</t>
  </si>
  <si>
    <t>Total Number of Rooms</t>
  </si>
  <si>
    <t>Average Capacity Percentage</t>
  </si>
  <si>
    <t>Breakfast Price</t>
  </si>
  <si>
    <t>Cost of Breakfast</t>
  </si>
  <si>
    <t>Percentage of Breakfast Purchases</t>
  </si>
  <si>
    <t>Average Extra "Fun" Amenities Price</t>
  </si>
  <si>
    <t xml:space="preserve">Average Cost </t>
  </si>
  <si>
    <t>Percentage of those Purchases</t>
  </si>
  <si>
    <t>Front Desk Labor</t>
  </si>
  <si>
    <t>Cleaning Labor</t>
  </si>
  <si>
    <t>Building/Room Maintance</t>
  </si>
  <si>
    <t>Cooking Labor</t>
  </si>
  <si>
    <t>Total Labor</t>
  </si>
  <si>
    <t>Total Room Rev</t>
  </si>
  <si>
    <t>Total Breakfst Rev</t>
  </si>
  <si>
    <t>Capacity in Rooms</t>
  </si>
  <si>
    <t>Total Extras Revenues</t>
  </si>
  <si>
    <t>Percentage of Room &amp; Extra Rev</t>
  </si>
  <si>
    <t>Percentage of Breakfast</t>
  </si>
  <si>
    <t>Percentage of Room</t>
  </si>
  <si>
    <t>General &amp; Administration</t>
  </si>
  <si>
    <t>Percentage of Total Rev</t>
  </si>
  <si>
    <t xml:space="preserve">Building </t>
  </si>
  <si>
    <t>Depriciation</t>
  </si>
  <si>
    <t>Room Revenue</t>
  </si>
  <si>
    <t>Breakfast Revenue</t>
  </si>
  <si>
    <t>Extra "Fun" Amenities Revenue</t>
  </si>
  <si>
    <t>Accts Rec for Rooms in Days</t>
  </si>
  <si>
    <t>Inventory Turnover in Days</t>
  </si>
  <si>
    <t>Accts Payable for food &amp; extras</t>
  </si>
  <si>
    <t>WACC AS IS</t>
  </si>
  <si>
    <t>CAPM to determine the return (cost) for equity holders</t>
  </si>
  <si>
    <t>Projected return of T-Bills</t>
  </si>
  <si>
    <t xml:space="preserve">Projected return of S&amp;P 500 </t>
  </si>
  <si>
    <t>Risk Premium (Spread) of S&amp;P 500</t>
  </si>
  <si>
    <t>Current Equity Holders Return (Cost)</t>
  </si>
  <si>
    <t>Blended Cost of Debt - to determine the return (cost) for debt holders</t>
  </si>
  <si>
    <t>Proportion</t>
  </si>
  <si>
    <t>Cost/Int Rate</t>
  </si>
  <si>
    <t>Bank Loans</t>
  </si>
  <si>
    <t>Current Cost of Debt</t>
  </si>
  <si>
    <t>Tax Rate of the Company</t>
  </si>
  <si>
    <t>Proportions of Debt and Equity</t>
  </si>
  <si>
    <t>Debt</t>
  </si>
  <si>
    <t>Current Beta (Equity Beta)</t>
  </si>
  <si>
    <t>Proprtion of Debt</t>
  </si>
  <si>
    <t>Proportion of Equity</t>
  </si>
  <si>
    <t>WACC</t>
  </si>
  <si>
    <t>T-bill Return is the 20 year T-bill rate as of june first 2012</t>
  </si>
  <si>
    <t>This is the S&amp;P return for 2012</t>
  </si>
  <si>
    <t>This is the Average Beta for the following companies:</t>
  </si>
  <si>
    <t>Marroit</t>
  </si>
  <si>
    <t>Host Hotels and Resorts</t>
  </si>
  <si>
    <t>Hyatt</t>
  </si>
  <si>
    <t>Hotel</t>
  </si>
  <si>
    <t>Beta</t>
  </si>
  <si>
    <t>Our sq footage</t>
  </si>
  <si>
    <t>Per Month per 2,000sq foot avg in Rigby</t>
  </si>
  <si>
    <t>Free Cash Flows</t>
  </si>
  <si>
    <t>Operating Profit</t>
  </si>
  <si>
    <t>Less: Depreciation</t>
  </si>
  <si>
    <t>Taxable Income</t>
  </si>
  <si>
    <t>Income Tax</t>
  </si>
  <si>
    <t>Net Income after Tax</t>
  </si>
  <si>
    <t>Add: Deptreciation</t>
  </si>
  <si>
    <t>Cash From Operations</t>
  </si>
  <si>
    <t xml:space="preserve">Capital Expenditures </t>
  </si>
  <si>
    <t>Buy Building</t>
  </si>
  <si>
    <t>Sell Building</t>
  </si>
  <si>
    <t>Taxes on Sell</t>
  </si>
  <si>
    <t>Book Value</t>
  </si>
  <si>
    <t>Changes in Working Capital</t>
  </si>
  <si>
    <t>Avg per Month</t>
  </si>
  <si>
    <t>Avg wage per hour for labor</t>
  </si>
  <si>
    <t>Minimum Cash</t>
  </si>
  <si>
    <t>Cash that exceeds Minimum</t>
  </si>
  <si>
    <t>Termination of Working Capital Accounts</t>
  </si>
  <si>
    <t xml:space="preserve">Total Free Cash Flows </t>
  </si>
  <si>
    <t>Year</t>
  </si>
  <si>
    <t>Discount Rate (WACC)</t>
  </si>
  <si>
    <t>PV of Free Cash Flows</t>
  </si>
  <si>
    <t>NPV</t>
  </si>
  <si>
    <t>IRR</t>
  </si>
  <si>
    <t>found on BusinessWeek.com</t>
  </si>
  <si>
    <t>Total Debt</t>
  </si>
  <si>
    <t xml:space="preserve">Total </t>
  </si>
  <si>
    <t xml:space="preserve">                               </t>
  </si>
  <si>
    <t>BETA</t>
  </si>
  <si>
    <t xml:space="preserve">Marriot </t>
  </si>
  <si>
    <t>Host hotels and resorts</t>
  </si>
  <si>
    <t>Hyatt hotels corporation</t>
  </si>
  <si>
    <t>CALCULATIONS</t>
  </si>
  <si>
    <t>HOST</t>
  </si>
  <si>
    <t>NEW WACC</t>
  </si>
  <si>
    <t>Unlever and Relever the Beta</t>
  </si>
  <si>
    <t>Old (Equity) Beta</t>
  </si>
  <si>
    <t>Current Debt Proportion</t>
  </si>
  <si>
    <t>Current Equity Proportion</t>
  </si>
  <si>
    <t>Unlevered Beta (zero debt)</t>
  </si>
  <si>
    <t>New Debt Proportion</t>
  </si>
  <si>
    <t>New Equity Proportion</t>
  </si>
  <si>
    <t>Relevered Beta (91/9)</t>
  </si>
  <si>
    <t>HYATT</t>
  </si>
  <si>
    <t>Marriot</t>
  </si>
  <si>
    <t>unlev</t>
  </si>
  <si>
    <t>Buy Land</t>
  </si>
  <si>
    <t>Sell Land</t>
  </si>
  <si>
    <t>Land</t>
  </si>
  <si>
    <t>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</si>
</sst>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[Red]\-[$$-409]#,##0.00"/>
    <numFmt numFmtId="165" formatCode="_(* #,##0_);_(* \(#,##0\);_(* &quot;-&quot;??_);_(@_)"/>
    <numFmt numFmtId="166" formatCode="_(* #,##0.0_);_(* \(#,##0.0\);_(* &quot;-&quot;??_);_(@_)"/>
    <numFmt numFmtId="167" formatCode="_(&quot;$&quot;* #,##0_);_(&quot;$&quot;* \(#,##0\);_(&quot;$&quot;* &quot;-&quot;??_);_(@_)"/>
    <numFmt numFmtId="168" formatCode="0.00000%"/>
    <numFmt numFmtId="169" formatCode="0.0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8" fontId="0" fillId="0" borderId="0" xfId="0" applyNumberFormat="1"/>
    <xf numFmtId="0" fontId="3" fillId="0" borderId="0" xfId="0" applyFont="1"/>
    <xf numFmtId="44" fontId="0" fillId="0" borderId="0" xfId="2" applyFont="1"/>
    <xf numFmtId="4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0" fillId="0" borderId="0" xfId="0" applyAlignment="1">
      <alignment horizontal="left" indent="1"/>
    </xf>
    <xf numFmtId="9" fontId="0" fillId="0" borderId="0" xfId="3" applyFont="1"/>
    <xf numFmtId="9" fontId="0" fillId="0" borderId="0" xfId="0" applyNumberFormat="1"/>
    <xf numFmtId="0" fontId="0" fillId="0" borderId="0" xfId="0" applyAlignment="1">
      <alignment horizontal="left"/>
    </xf>
    <xf numFmtId="44" fontId="0" fillId="0" borderId="1" xfId="0" applyNumberFormat="1" applyBorder="1"/>
    <xf numFmtId="44" fontId="0" fillId="0" borderId="1" xfId="2" applyFont="1" applyBorder="1"/>
    <xf numFmtId="44" fontId="0" fillId="0" borderId="1" xfId="2" applyFont="1" applyBorder="1" applyAlignment="1">
      <alignment horizontal="center" vertical="center"/>
    </xf>
    <xf numFmtId="44" fontId="0" fillId="0" borderId="2" xfId="0" applyNumberFormat="1" applyBorder="1"/>
    <xf numFmtId="0" fontId="4" fillId="0" borderId="0" xfId="0" applyFont="1" applyAlignment="1">
      <alignment horizontal="center"/>
    </xf>
    <xf numFmtId="0" fontId="4" fillId="0" borderId="0" xfId="0" applyFont="1"/>
    <xf numFmtId="44" fontId="0" fillId="0" borderId="3" xfId="0" applyNumberFormat="1" applyBorder="1"/>
    <xf numFmtId="44" fontId="0" fillId="0" borderId="0" xfId="0" applyNumberFormat="1" applyBorder="1"/>
    <xf numFmtId="2" fontId="0" fillId="0" borderId="0" xfId="1" applyNumberFormat="1" applyFont="1"/>
    <xf numFmtId="2" fontId="0" fillId="0" borderId="0" xfId="0" applyNumberFormat="1"/>
    <xf numFmtId="10" fontId="0" fillId="0" borderId="0" xfId="3" applyNumberFormat="1" applyFont="1"/>
    <xf numFmtId="0" fontId="0" fillId="0" borderId="0" xfId="0" applyAlignment="1">
      <alignment horizontal="left" indent="2"/>
    </xf>
    <xf numFmtId="9" fontId="0" fillId="0" borderId="0" xfId="2" applyNumberFormat="1" applyFont="1"/>
    <xf numFmtId="43" fontId="0" fillId="0" borderId="1" xfId="0" applyNumberFormat="1" applyBorder="1"/>
    <xf numFmtId="0" fontId="0" fillId="0" borderId="0" xfId="0" applyFill="1"/>
    <xf numFmtId="0" fontId="3" fillId="0" borderId="4" xfId="0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166" fontId="0" fillId="0" borderId="0" xfId="1" applyNumberFormat="1" applyFont="1"/>
    <xf numFmtId="43" fontId="0" fillId="0" borderId="0" xfId="1" applyNumberFormat="1" applyFont="1"/>
    <xf numFmtId="167" fontId="0" fillId="0" borderId="0" xfId="2" applyNumberFormat="1" applyFont="1"/>
    <xf numFmtId="0" fontId="3" fillId="0" borderId="0" xfId="0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44" fontId="0" fillId="0" borderId="0" xfId="0" applyNumberFormat="1" applyAlignment="1">
      <alignment horizontal="left" indent="1"/>
    </xf>
    <xf numFmtId="43" fontId="0" fillId="0" borderId="0" xfId="0" applyNumberFormat="1"/>
    <xf numFmtId="0" fontId="5" fillId="0" borderId="0" xfId="4"/>
    <xf numFmtId="0" fontId="3" fillId="0" borderId="0" xfId="0" applyFont="1" applyAlignment="1">
      <alignment horizontal="left"/>
    </xf>
    <xf numFmtId="10" fontId="0" fillId="0" borderId="0" xfId="0" applyNumberFormat="1"/>
    <xf numFmtId="0" fontId="0" fillId="0" borderId="0" xfId="0" applyFill="1" applyAlignment="1">
      <alignment horizontal="left" indent="1"/>
    </xf>
    <xf numFmtId="9" fontId="0" fillId="0" borderId="0" xfId="3" applyFont="1" applyFill="1"/>
    <xf numFmtId="0" fontId="8" fillId="0" borderId="0" xfId="0" applyFont="1" applyFill="1"/>
    <xf numFmtId="44" fontId="0" fillId="0" borderId="0" xfId="0" applyNumberFormat="1" applyFill="1"/>
    <xf numFmtId="9" fontId="0" fillId="0" borderId="0" xfId="0" applyNumberFormat="1" applyFill="1"/>
    <xf numFmtId="43" fontId="0" fillId="0" borderId="0" xfId="1" applyFont="1" applyFill="1"/>
    <xf numFmtId="168" fontId="0" fillId="0" borderId="0" xfId="3" applyNumberFormat="1" applyFont="1" applyFill="1"/>
    <xf numFmtId="0" fontId="0" fillId="0" borderId="2" xfId="0" applyFill="1" applyBorder="1"/>
    <xf numFmtId="10" fontId="0" fillId="0" borderId="0" xfId="3" applyNumberFormat="1" applyFont="1" applyFill="1"/>
    <xf numFmtId="8" fontId="9" fillId="0" borderId="0" xfId="0" applyNumberFormat="1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169" fontId="0" fillId="0" borderId="0" xfId="0" applyNumberFormat="1" applyFill="1"/>
    <xf numFmtId="0" fontId="0" fillId="0" borderId="1" xfId="0" applyBorder="1" applyAlignment="1">
      <alignment horizontal="center"/>
    </xf>
  </cellXfs>
  <cellStyles count="25">
    <cellStyle name="Comma" xfId="1" builtinId="3"/>
    <cellStyle name="Currency" xfId="2" builtinId="4"/>
    <cellStyle name="Excel Built-in Normal" xfId="4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O188"/>
  <sheetViews>
    <sheetView tabSelected="1" workbookViewId="0">
      <selection activeCell="G11" sqref="G11"/>
    </sheetView>
  </sheetViews>
  <sheetFormatPr defaultColWidth="8.85546875" defaultRowHeight="15" x14ac:dyDescent="0.25"/>
  <cols>
    <col min="1" max="1" width="41.28515625" customWidth="1"/>
    <col min="2" max="2" width="21.85546875" customWidth="1"/>
    <col min="3" max="3" width="14.7109375" customWidth="1"/>
    <col min="4" max="6" width="14.28515625" bestFit="1" customWidth="1"/>
    <col min="7" max="7" width="16.140625" customWidth="1"/>
    <col min="8" max="8" width="15" bestFit="1" customWidth="1"/>
    <col min="9" max="12" width="16" bestFit="1" customWidth="1"/>
    <col min="13" max="13" width="17" bestFit="1" customWidth="1"/>
    <col min="15" max="15" width="12.42578125" bestFit="1" customWidth="1"/>
  </cols>
  <sheetData>
    <row r="1" spans="1:13" ht="15.75" x14ac:dyDescent="0.25">
      <c r="A1" s="21" t="s">
        <v>99</v>
      </c>
      <c r="B1" s="21"/>
    </row>
    <row r="2" spans="1:13" ht="15.75" x14ac:dyDescent="0.25">
      <c r="C2" s="20">
        <v>2012</v>
      </c>
      <c r="D2" s="20">
        <v>2013</v>
      </c>
      <c r="E2" s="20">
        <v>2014</v>
      </c>
      <c r="F2" s="20">
        <v>2015</v>
      </c>
      <c r="G2" s="20">
        <v>2016</v>
      </c>
      <c r="H2" s="20">
        <v>2017</v>
      </c>
      <c r="I2" s="20">
        <v>2018</v>
      </c>
      <c r="J2" s="20">
        <v>2019</v>
      </c>
      <c r="K2" s="20">
        <v>2020</v>
      </c>
      <c r="L2" s="20">
        <v>2021</v>
      </c>
      <c r="M2" s="20">
        <v>2022</v>
      </c>
    </row>
    <row r="3" spans="1:13" ht="15.75" x14ac:dyDescent="0.25">
      <c r="A3" s="21" t="s">
        <v>56</v>
      </c>
      <c r="B3" s="21"/>
    </row>
    <row r="4" spans="1:13" x14ac:dyDescent="0.25">
      <c r="A4" s="12" t="s">
        <v>100</v>
      </c>
      <c r="B4" s="12"/>
      <c r="C4" s="8">
        <v>153</v>
      </c>
      <c r="D4" s="9">
        <f>C4*1.03</f>
        <v>157.59</v>
      </c>
      <c r="E4" s="9">
        <f t="shared" ref="E4:F4" si="0">D4*1.03</f>
        <v>162.3177</v>
      </c>
      <c r="F4" s="9">
        <f t="shared" si="0"/>
        <v>167.187231</v>
      </c>
      <c r="G4" s="9">
        <f t="shared" ref="G4" si="1">F4*1.03</f>
        <v>172.20284792999999</v>
      </c>
      <c r="H4" s="9">
        <f t="shared" ref="H4" si="2">G4*1.03</f>
        <v>177.36893336789998</v>
      </c>
      <c r="I4" s="9">
        <f t="shared" ref="I4" si="3">H4*1.03</f>
        <v>182.69000136893698</v>
      </c>
      <c r="J4" s="9">
        <f t="shared" ref="J4" si="4">I4*1.03</f>
        <v>188.17070141000508</v>
      </c>
      <c r="K4" s="9">
        <f t="shared" ref="K4" si="5">J4*1.03</f>
        <v>193.81582245230524</v>
      </c>
      <c r="L4" s="9">
        <f t="shared" ref="L4:M4" si="6">K4*1.03</f>
        <v>199.63029712587439</v>
      </c>
      <c r="M4" s="9">
        <f t="shared" si="6"/>
        <v>205.61920603965063</v>
      </c>
    </row>
    <row r="5" spans="1:13" x14ac:dyDescent="0.25">
      <c r="A5" s="27" t="s">
        <v>116</v>
      </c>
      <c r="B5" s="27"/>
      <c r="C5" s="10">
        <f>C7*C6</f>
        <v>1</v>
      </c>
      <c r="D5" s="10">
        <f>D7*D6</f>
        <v>1.1499999999999999</v>
      </c>
      <c r="E5" s="10">
        <f t="shared" ref="E5:F5" si="7">E7*E6</f>
        <v>1.3224999999999998</v>
      </c>
      <c r="F5" s="10">
        <f t="shared" si="7"/>
        <v>1.5208749999999995</v>
      </c>
      <c r="G5" s="10">
        <f t="shared" ref="G5:M5" si="8">G7*G6</f>
        <v>1.9988642857142849</v>
      </c>
      <c r="H5" s="10">
        <f t="shared" si="8"/>
        <v>2.5860306696428559</v>
      </c>
      <c r="I5" s="10">
        <f t="shared" si="8"/>
        <v>3.3043725223214264</v>
      </c>
      <c r="J5" s="10">
        <f t="shared" si="8"/>
        <v>4.1800312407366036</v>
      </c>
      <c r="K5" s="10">
        <f t="shared" si="8"/>
        <v>5.2440391929241024</v>
      </c>
      <c r="L5" s="10">
        <f t="shared" si="8"/>
        <v>6.5331988278512769</v>
      </c>
      <c r="M5" s="10">
        <f t="shared" si="8"/>
        <v>8.0911154714158116</v>
      </c>
    </row>
    <row r="6" spans="1:13" x14ac:dyDescent="0.25">
      <c r="A6" s="27" t="s">
        <v>101</v>
      </c>
      <c r="B6" s="27"/>
      <c r="C6" s="11">
        <v>7</v>
      </c>
      <c r="D6" s="11">
        <v>7</v>
      </c>
      <c r="E6" s="11">
        <v>7</v>
      </c>
      <c r="F6" s="11">
        <v>7</v>
      </c>
      <c r="G6" s="11">
        <v>8</v>
      </c>
      <c r="H6" s="11">
        <v>9</v>
      </c>
      <c r="I6" s="11">
        <v>10</v>
      </c>
      <c r="J6" s="11">
        <v>11</v>
      </c>
      <c r="K6" s="11">
        <v>12</v>
      </c>
      <c r="L6" s="11">
        <v>13</v>
      </c>
      <c r="M6" s="11">
        <v>14</v>
      </c>
    </row>
    <row r="7" spans="1:13" x14ac:dyDescent="0.25">
      <c r="A7" s="15" t="s">
        <v>102</v>
      </c>
      <c r="B7" s="15"/>
      <c r="C7" s="13">
        <f>1/C6</f>
        <v>0.14285714285714285</v>
      </c>
      <c r="D7" s="13">
        <f>C7*1.15</f>
        <v>0.16428571428571426</v>
      </c>
      <c r="E7" s="13">
        <f t="shared" ref="E7:F7" si="9">D7*1.15</f>
        <v>0.18892857142857139</v>
      </c>
      <c r="F7" s="13">
        <f t="shared" si="9"/>
        <v>0.21726785714285707</v>
      </c>
      <c r="G7" s="13">
        <f t="shared" ref="G7" si="10">F7*1.15</f>
        <v>0.24985803571428561</v>
      </c>
      <c r="H7" s="13">
        <f t="shared" ref="H7" si="11">G7*1.15</f>
        <v>0.28733674107142843</v>
      </c>
      <c r="I7" s="13">
        <f t="shared" ref="I7" si="12">H7*1.15</f>
        <v>0.33043725223214265</v>
      </c>
      <c r="J7" s="13">
        <f t="shared" ref="J7" si="13">I7*1.15</f>
        <v>0.380002840066964</v>
      </c>
      <c r="K7" s="13">
        <f t="shared" ref="K7" si="14">J7*1.15</f>
        <v>0.43700326607700857</v>
      </c>
      <c r="L7" s="13">
        <f t="shared" ref="L7:M7" si="15">K7*1.15</f>
        <v>0.50255375598855978</v>
      </c>
      <c r="M7" s="13">
        <f t="shared" si="15"/>
        <v>0.57793681938684371</v>
      </c>
    </row>
    <row r="8" spans="1:13" x14ac:dyDescent="0.25">
      <c r="A8" s="15" t="s">
        <v>114</v>
      </c>
      <c r="B8" s="15"/>
      <c r="C8" s="8">
        <f>(C4*C5)*365</f>
        <v>55845</v>
      </c>
      <c r="D8" s="8">
        <f t="shared" ref="D8:E8" si="16">(D4*D5)*365</f>
        <v>66148.402499999997</v>
      </c>
      <c r="E8" s="8">
        <f t="shared" si="16"/>
        <v>78352.782761249982</v>
      </c>
      <c r="F8" s="8">
        <f>(F4*F5)*365</f>
        <v>92808.871180700589</v>
      </c>
      <c r="G8" s="8">
        <f t="shared" ref="G8:M8" si="17">(G4*G5)*365</f>
        <v>125636.69475833126</v>
      </c>
      <c r="H8" s="8">
        <f t="shared" si="17"/>
        <v>167418.74805889875</v>
      </c>
      <c r="I8" s="8">
        <f t="shared" si="17"/>
        <v>220341.67452862838</v>
      </c>
      <c r="J8" s="8">
        <f t="shared" si="17"/>
        <v>287094.18482707627</v>
      </c>
      <c r="K8" s="8">
        <f t="shared" si="17"/>
        <v>370977.8857392784</v>
      </c>
      <c r="L8" s="8">
        <f t="shared" si="17"/>
        <v>476041.91446302313</v>
      </c>
      <c r="M8" s="8">
        <f t="shared" si="17"/>
        <v>607246.38981079333</v>
      </c>
    </row>
    <row r="9" spans="1:13" x14ac:dyDescent="0.25">
      <c r="A9" s="15" t="s">
        <v>128</v>
      </c>
      <c r="B9" s="15"/>
      <c r="C9" s="11">
        <v>15</v>
      </c>
      <c r="D9" s="11">
        <v>15</v>
      </c>
      <c r="E9" s="11">
        <v>15</v>
      </c>
      <c r="F9" s="11">
        <v>15</v>
      </c>
      <c r="G9" s="11">
        <v>15</v>
      </c>
      <c r="H9" s="11">
        <v>15</v>
      </c>
      <c r="I9" s="11">
        <v>15</v>
      </c>
      <c r="J9" s="11">
        <v>15</v>
      </c>
      <c r="K9" s="11">
        <v>15</v>
      </c>
      <c r="L9" s="11">
        <v>15</v>
      </c>
      <c r="M9" s="11">
        <v>15</v>
      </c>
    </row>
    <row r="11" spans="1:13" x14ac:dyDescent="0.25">
      <c r="A11" s="12" t="s">
        <v>103</v>
      </c>
      <c r="B11" s="12"/>
      <c r="C11" s="8">
        <v>14.99</v>
      </c>
      <c r="D11" s="9">
        <f>C11*1.03</f>
        <v>15.4397</v>
      </c>
      <c r="E11" s="9">
        <f t="shared" ref="E11:F11" si="18">D11*1.03</f>
        <v>15.902891</v>
      </c>
      <c r="F11" s="9">
        <f t="shared" si="18"/>
        <v>16.37997773</v>
      </c>
      <c r="G11" s="9">
        <f t="shared" ref="G11:G12" si="19">F11*1.03</f>
        <v>16.871377061900002</v>
      </c>
      <c r="H11" s="9">
        <f t="shared" ref="H11:H12" si="20">G11*1.03</f>
        <v>17.377518373757002</v>
      </c>
      <c r="I11" s="9">
        <f t="shared" ref="I11:I12" si="21">H11*1.03</f>
        <v>17.898843924969714</v>
      </c>
      <c r="J11" s="9">
        <f t="shared" ref="J11:J12" si="22">I11*1.03</f>
        <v>18.435809242718808</v>
      </c>
      <c r="K11" s="9">
        <f t="shared" ref="K11:K12" si="23">J11*1.03</f>
        <v>18.988883520000371</v>
      </c>
      <c r="L11" s="9">
        <f t="shared" ref="L11:M12" si="24">K11*1.03</f>
        <v>19.558550025600383</v>
      </c>
      <c r="M11" s="9">
        <f t="shared" si="24"/>
        <v>20.145306526368394</v>
      </c>
    </row>
    <row r="12" spans="1:13" x14ac:dyDescent="0.25">
      <c r="A12" s="12" t="s">
        <v>104</v>
      </c>
      <c r="B12" s="12"/>
      <c r="C12" s="8">
        <v>7.59</v>
      </c>
      <c r="D12" s="8">
        <f>C12*1.03</f>
        <v>7.8177000000000003</v>
      </c>
      <c r="E12" s="8">
        <f t="shared" ref="E12:F12" si="25">D12*1.03</f>
        <v>8.0522310000000008</v>
      </c>
      <c r="F12" s="8">
        <f t="shared" si="25"/>
        <v>8.2937979300000002</v>
      </c>
      <c r="G12" s="8">
        <f t="shared" si="19"/>
        <v>8.5426118678999998</v>
      </c>
      <c r="H12" s="8">
        <f t="shared" si="20"/>
        <v>8.7988902239370006</v>
      </c>
      <c r="I12" s="8">
        <f t="shared" si="21"/>
        <v>9.0628569306551103</v>
      </c>
      <c r="J12" s="8">
        <f t="shared" si="22"/>
        <v>9.3347426385747632</v>
      </c>
      <c r="K12" s="8">
        <f t="shared" si="23"/>
        <v>9.6147849177320062</v>
      </c>
      <c r="L12" s="8">
        <f t="shared" si="24"/>
        <v>9.9032284652639664</v>
      </c>
      <c r="M12" s="8">
        <f t="shared" si="24"/>
        <v>10.200325319221886</v>
      </c>
    </row>
    <row r="13" spans="1:13" x14ac:dyDescent="0.25">
      <c r="A13" s="15" t="s">
        <v>105</v>
      </c>
      <c r="B13" s="15"/>
      <c r="C13" s="13">
        <v>0.82</v>
      </c>
      <c r="D13" s="13">
        <f>C13*1.05</f>
        <v>0.86099999999999999</v>
      </c>
      <c r="E13" s="13">
        <f>D13*1.05</f>
        <v>0.90405000000000002</v>
      </c>
      <c r="F13" s="13">
        <f>E13*1.05</f>
        <v>0.94925250000000005</v>
      </c>
      <c r="G13" s="13">
        <f t="shared" ref="G13" si="26">F13*1.05</f>
        <v>0.99671512500000015</v>
      </c>
      <c r="H13" s="13">
        <f>G13</f>
        <v>0.99671512500000015</v>
      </c>
      <c r="I13" s="13">
        <f t="shared" ref="I13:M13" si="27">H13</f>
        <v>0.99671512500000015</v>
      </c>
      <c r="J13" s="13">
        <f t="shared" si="27"/>
        <v>0.99671512500000015</v>
      </c>
      <c r="K13" s="13">
        <f t="shared" si="27"/>
        <v>0.99671512500000015</v>
      </c>
      <c r="L13" s="13">
        <f t="shared" si="27"/>
        <v>0.99671512500000015</v>
      </c>
      <c r="M13" s="13">
        <f t="shared" si="27"/>
        <v>0.99671512500000015</v>
      </c>
    </row>
    <row r="14" spans="1:13" x14ac:dyDescent="0.25">
      <c r="A14" s="15" t="s">
        <v>115</v>
      </c>
      <c r="B14" s="15"/>
      <c r="C14" s="8">
        <f>(C11*(C13*C5))*365</f>
        <v>4486.5070000000005</v>
      </c>
      <c r="D14" s="8">
        <f t="shared" ref="D14:F14" si="28">(D11*(D13*D5))*365</f>
        <v>5579.9809185749991</v>
      </c>
      <c r="E14" s="8">
        <f t="shared" si="28"/>
        <v>6939.9617679546918</v>
      </c>
      <c r="F14" s="8">
        <f t="shared" si="28"/>
        <v>8631.4039498494476</v>
      </c>
      <c r="G14" s="8">
        <f t="shared" ref="G14:M14" si="29">(G11*(G13*G5))*365</f>
        <v>12268.677574316005</v>
      </c>
      <c r="H14" s="8">
        <f t="shared" si="29"/>
        <v>16348.779660124468</v>
      </c>
      <c r="I14" s="8">
        <f t="shared" si="29"/>
        <v>21516.810563797149</v>
      </c>
      <c r="J14" s="8">
        <f t="shared" si="29"/>
        <v>28035.328324099493</v>
      </c>
      <c r="K14" s="8">
        <f t="shared" si="29"/>
        <v>36226.741527159102</v>
      </c>
      <c r="L14" s="8">
        <f t="shared" si="29"/>
        <v>46486.456617163283</v>
      </c>
      <c r="M14" s="8">
        <f t="shared" si="29"/>
        <v>59298.839237109132</v>
      </c>
    </row>
    <row r="15" spans="1:13" x14ac:dyDescent="0.25">
      <c r="A15" s="15" t="s">
        <v>129</v>
      </c>
      <c r="B15" s="15"/>
      <c r="C15" s="11">
        <v>7</v>
      </c>
      <c r="D15" s="34">
        <v>6.5</v>
      </c>
      <c r="E15" s="11">
        <v>6</v>
      </c>
      <c r="F15" s="33">
        <v>5.5</v>
      </c>
      <c r="G15" s="11">
        <v>5</v>
      </c>
      <c r="H15" s="33">
        <v>4.5</v>
      </c>
      <c r="I15" s="11">
        <v>4</v>
      </c>
      <c r="J15" s="33">
        <v>3.5</v>
      </c>
      <c r="K15" s="33">
        <v>3.5</v>
      </c>
      <c r="L15" s="33">
        <v>3.5</v>
      </c>
      <c r="M15" s="33">
        <v>3.5</v>
      </c>
    </row>
    <row r="16" spans="1:13" x14ac:dyDescent="0.25">
      <c r="A16" s="12"/>
      <c r="B16" s="12"/>
    </row>
    <row r="17" spans="1:13" x14ac:dyDescent="0.25">
      <c r="A17" s="12" t="s">
        <v>106</v>
      </c>
      <c r="B17" s="12"/>
      <c r="C17" s="8">
        <v>22</v>
      </c>
      <c r="D17" s="9">
        <f>C17*1.03</f>
        <v>22.66</v>
      </c>
      <c r="E17" s="9">
        <f t="shared" ref="E17:F17" si="30">D17*1.03</f>
        <v>23.3398</v>
      </c>
      <c r="F17" s="9">
        <f t="shared" si="30"/>
        <v>24.039994</v>
      </c>
      <c r="G17" s="9">
        <f t="shared" ref="G17:G18" si="31">F17*1.03</f>
        <v>24.761193819999999</v>
      </c>
      <c r="H17" s="9">
        <f t="shared" ref="H17:H18" si="32">G17*1.03</f>
        <v>25.504029634599998</v>
      </c>
      <c r="I17" s="9">
        <f t="shared" ref="I17:I18" si="33">H17*1.03</f>
        <v>26.269150523638</v>
      </c>
      <c r="J17" s="9">
        <f t="shared" ref="J17:J18" si="34">I17*1.03</f>
        <v>27.057225039347141</v>
      </c>
      <c r="K17" s="9">
        <f t="shared" ref="K17:K18" si="35">J17*1.03</f>
        <v>27.868941790527558</v>
      </c>
      <c r="L17" s="9">
        <f t="shared" ref="L17:M18" si="36">K17*1.03</f>
        <v>28.705010044243384</v>
      </c>
      <c r="M17" s="9">
        <f t="shared" si="36"/>
        <v>29.566160345570687</v>
      </c>
    </row>
    <row r="18" spans="1:13" x14ac:dyDescent="0.25">
      <c r="A18" s="12" t="s">
        <v>107</v>
      </c>
      <c r="B18" s="12"/>
      <c r="C18" s="9">
        <v>11</v>
      </c>
      <c r="D18" s="9">
        <f>C18*1.03</f>
        <v>11.33</v>
      </c>
      <c r="E18" s="9">
        <f t="shared" ref="E18:F18" si="37">D18*1.03</f>
        <v>11.6699</v>
      </c>
      <c r="F18" s="9">
        <f t="shared" si="37"/>
        <v>12.019997</v>
      </c>
      <c r="G18" s="9">
        <f t="shared" si="31"/>
        <v>12.38059691</v>
      </c>
      <c r="H18" s="9">
        <f t="shared" si="32"/>
        <v>12.752014817299999</v>
      </c>
      <c r="I18" s="9">
        <f t="shared" si="33"/>
        <v>13.134575261819</v>
      </c>
      <c r="J18" s="9">
        <f t="shared" si="34"/>
        <v>13.528612519673571</v>
      </c>
      <c r="K18" s="9">
        <f t="shared" si="35"/>
        <v>13.934470895263779</v>
      </c>
      <c r="L18" s="9">
        <f t="shared" si="36"/>
        <v>14.352505022121692</v>
      </c>
      <c r="M18" s="9">
        <f t="shared" si="36"/>
        <v>14.783080172785343</v>
      </c>
    </row>
    <row r="19" spans="1:13" x14ac:dyDescent="0.25">
      <c r="A19" s="15" t="s">
        <v>108</v>
      </c>
      <c r="B19" s="15"/>
      <c r="C19" s="14">
        <v>0.5</v>
      </c>
      <c r="D19" s="13">
        <f>C19*1.05</f>
        <v>0.52500000000000002</v>
      </c>
      <c r="E19" s="13">
        <f t="shared" ref="E19:F19" si="38">D19*1.05</f>
        <v>0.55125000000000002</v>
      </c>
      <c r="F19" s="13">
        <f t="shared" si="38"/>
        <v>0.57881250000000006</v>
      </c>
      <c r="G19" s="13">
        <f t="shared" ref="G19" si="39">F19*1.05</f>
        <v>0.60775312500000012</v>
      </c>
      <c r="H19" s="13">
        <f t="shared" ref="H19" si="40">G19*1.05</f>
        <v>0.63814078125000018</v>
      </c>
      <c r="I19" s="13">
        <f t="shared" ref="I19" si="41">H19*1.05</f>
        <v>0.67004782031250021</v>
      </c>
      <c r="J19" s="13">
        <f t="shared" ref="J19" si="42">I19*1.05</f>
        <v>0.70355021132812523</v>
      </c>
      <c r="K19" s="13">
        <f t="shared" ref="K19" si="43">J19*1.05</f>
        <v>0.73872772189453151</v>
      </c>
      <c r="L19" s="13">
        <f t="shared" ref="L19:M19" si="44">K19*1.05</f>
        <v>0.77566410798925811</v>
      </c>
      <c r="M19" s="13">
        <f t="shared" si="44"/>
        <v>0.81444731338872101</v>
      </c>
    </row>
    <row r="20" spans="1:13" x14ac:dyDescent="0.25">
      <c r="A20" s="15" t="s">
        <v>117</v>
      </c>
      <c r="B20" s="15"/>
      <c r="C20" s="8">
        <f>(C17*(C5*C19))*365</f>
        <v>4015</v>
      </c>
      <c r="D20" s="8">
        <f t="shared" ref="D20:F20" si="45">(D17*(D5*D19))*365</f>
        <v>4993.555875</v>
      </c>
      <c r="E20" s="8">
        <f t="shared" si="45"/>
        <v>6210.6102806343742</v>
      </c>
      <c r="F20" s="8">
        <f t="shared" si="45"/>
        <v>7724.2912712819871</v>
      </c>
      <c r="G20" s="8">
        <f t="shared" ref="G20:M20" si="46">(G17*(G5*G19))*365</f>
        <v>10979.307613000215</v>
      </c>
      <c r="H20" s="8">
        <f t="shared" si="46"/>
        <v>15362.144281101029</v>
      </c>
      <c r="I20" s="8">
        <f t="shared" si="46"/>
        <v>21229.203217791528</v>
      </c>
      <c r="J20" s="8">
        <f t="shared" si="46"/>
        <v>29043.61984925254</v>
      </c>
      <c r="K20" s="8">
        <f t="shared" si="46"/>
        <v>39406.119378558127</v>
      </c>
      <c r="L20" s="8">
        <f t="shared" si="46"/>
        <v>53094.57380943864</v>
      </c>
      <c r="M20" s="8">
        <f t="shared" si="46"/>
        <v>71114.667950462841</v>
      </c>
    </row>
    <row r="21" spans="1:13" x14ac:dyDescent="0.25">
      <c r="A21" s="15" t="s">
        <v>129</v>
      </c>
      <c r="B21" s="15"/>
      <c r="C21" s="11">
        <v>12</v>
      </c>
      <c r="D21" s="11">
        <v>11</v>
      </c>
      <c r="E21" s="11">
        <v>10</v>
      </c>
      <c r="F21" s="11">
        <v>9</v>
      </c>
      <c r="G21" s="11">
        <v>9</v>
      </c>
      <c r="H21" s="11">
        <v>9</v>
      </c>
      <c r="I21" s="11">
        <v>9</v>
      </c>
      <c r="J21" s="11">
        <v>9</v>
      </c>
      <c r="K21" s="11">
        <v>9</v>
      </c>
      <c r="L21" s="11">
        <v>9</v>
      </c>
      <c r="M21" s="11">
        <v>9</v>
      </c>
    </row>
    <row r="22" spans="1:13" x14ac:dyDescent="0.25">
      <c r="A22" s="15" t="s">
        <v>130</v>
      </c>
      <c r="B22" s="15"/>
      <c r="C22" s="11">
        <v>30</v>
      </c>
      <c r="D22" s="11">
        <v>30</v>
      </c>
      <c r="E22" s="11">
        <v>30</v>
      </c>
      <c r="F22" s="11">
        <v>30</v>
      </c>
      <c r="G22" s="11">
        <v>30</v>
      </c>
      <c r="H22" s="11">
        <v>30</v>
      </c>
      <c r="I22" s="11">
        <v>30</v>
      </c>
      <c r="J22" s="11">
        <v>30</v>
      </c>
      <c r="K22" s="11">
        <v>30</v>
      </c>
      <c r="L22" s="11">
        <v>30</v>
      </c>
      <c r="M22" s="11">
        <v>30</v>
      </c>
    </row>
    <row r="23" spans="1:13" x14ac:dyDescent="0.25">
      <c r="A23" s="15"/>
      <c r="B23" s="15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5" t="s">
        <v>57</v>
      </c>
      <c r="B24" s="15"/>
      <c r="C24" s="8">
        <f>($C$26/2000)*$C$25*12</f>
        <v>5599.7999999999993</v>
      </c>
      <c r="D24" s="8">
        <f t="shared" ref="D24:M24" si="47">($C$26/2000)*$C$25*12</f>
        <v>5599.7999999999993</v>
      </c>
      <c r="E24" s="8">
        <f t="shared" si="47"/>
        <v>5599.7999999999993</v>
      </c>
      <c r="F24" s="8">
        <f t="shared" si="47"/>
        <v>5599.7999999999993</v>
      </c>
      <c r="G24" s="8">
        <f t="shared" si="47"/>
        <v>5599.7999999999993</v>
      </c>
      <c r="H24" s="8">
        <f t="shared" si="47"/>
        <v>5599.7999999999993</v>
      </c>
      <c r="I24" s="8">
        <f t="shared" si="47"/>
        <v>5599.7999999999993</v>
      </c>
      <c r="J24" s="8">
        <f t="shared" si="47"/>
        <v>5599.7999999999993</v>
      </c>
      <c r="K24" s="8">
        <f t="shared" si="47"/>
        <v>5599.7999999999993</v>
      </c>
      <c r="L24" s="8">
        <f t="shared" si="47"/>
        <v>5599.7999999999993</v>
      </c>
      <c r="M24" s="8">
        <f t="shared" si="47"/>
        <v>5599.7999999999993</v>
      </c>
    </row>
    <row r="25" spans="1:13" x14ac:dyDescent="0.25">
      <c r="A25" s="12" t="s">
        <v>158</v>
      </c>
      <c r="B25" s="12"/>
      <c r="C25" s="35">
        <v>183</v>
      </c>
    </row>
    <row r="26" spans="1:13" x14ac:dyDescent="0.25">
      <c r="A26" s="12" t="s">
        <v>157</v>
      </c>
      <c r="B26" s="12"/>
      <c r="C26" s="11">
        <v>5100</v>
      </c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5">
      <c r="A27" t="s">
        <v>111</v>
      </c>
      <c r="C27" s="8">
        <f>$C$28*12</f>
        <v>4500</v>
      </c>
      <c r="D27" s="8">
        <f t="shared" ref="D27:M27" si="48">$C$28*12</f>
        <v>4500</v>
      </c>
      <c r="E27" s="8">
        <f t="shared" si="48"/>
        <v>4500</v>
      </c>
      <c r="F27" s="8">
        <f t="shared" si="48"/>
        <v>4500</v>
      </c>
      <c r="G27" s="8">
        <f t="shared" si="48"/>
        <v>4500</v>
      </c>
      <c r="H27" s="8">
        <f t="shared" si="48"/>
        <v>4500</v>
      </c>
      <c r="I27" s="8">
        <f t="shared" si="48"/>
        <v>4500</v>
      </c>
      <c r="J27" s="8">
        <f t="shared" si="48"/>
        <v>4500</v>
      </c>
      <c r="K27" s="8">
        <f t="shared" si="48"/>
        <v>4500</v>
      </c>
      <c r="L27" s="8">
        <f t="shared" si="48"/>
        <v>4500</v>
      </c>
      <c r="M27" s="8">
        <f t="shared" si="48"/>
        <v>4500</v>
      </c>
    </row>
    <row r="28" spans="1:13" x14ac:dyDescent="0.25">
      <c r="A28" s="12" t="s">
        <v>173</v>
      </c>
      <c r="C28" s="8">
        <f>C29*25</f>
        <v>375</v>
      </c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5">
      <c r="A29" s="12" t="s">
        <v>174</v>
      </c>
      <c r="C29" s="8">
        <v>15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5"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25">
      <c r="A31" s="12" t="s">
        <v>109</v>
      </c>
      <c r="B31" s="12"/>
      <c r="C31" s="8">
        <f>(C20+C8)*C32</f>
        <v>20951</v>
      </c>
      <c r="D31" s="8">
        <f>(D20+D8)*D32</f>
        <v>24899.68543125</v>
      </c>
      <c r="E31" s="8">
        <f t="shared" ref="E31:F31" si="49">(E20+E8)*E32</f>
        <v>29597.187564659522</v>
      </c>
      <c r="F31" s="8">
        <f t="shared" si="49"/>
        <v>35186.606858193896</v>
      </c>
      <c r="G31" s="8">
        <f t="shared" ref="G31:M31" si="50">(G20+G8)*G32</f>
        <v>47815.60082996601</v>
      </c>
      <c r="H31" s="8">
        <f t="shared" si="50"/>
        <v>63973.312318999924</v>
      </c>
      <c r="I31" s="8">
        <f t="shared" si="50"/>
        <v>84549.807211246967</v>
      </c>
      <c r="J31" s="8">
        <f t="shared" si="50"/>
        <v>110648.23163671506</v>
      </c>
      <c r="K31" s="8">
        <f t="shared" si="50"/>
        <v>143634.40179124277</v>
      </c>
      <c r="L31" s="8">
        <f t="shared" si="50"/>
        <v>185197.77089536161</v>
      </c>
      <c r="M31" s="8">
        <f t="shared" si="50"/>
        <v>237426.37021643962</v>
      </c>
    </row>
    <row r="32" spans="1:13" x14ac:dyDescent="0.25">
      <c r="A32" s="27" t="s">
        <v>118</v>
      </c>
      <c r="B32" s="27"/>
      <c r="C32" s="13">
        <v>0.35</v>
      </c>
      <c r="D32" s="13">
        <v>0.35</v>
      </c>
      <c r="E32" s="13">
        <v>0.35</v>
      </c>
      <c r="F32" s="13">
        <v>0.35</v>
      </c>
      <c r="G32" s="13">
        <v>0.35</v>
      </c>
      <c r="H32" s="13">
        <v>0.35</v>
      </c>
      <c r="I32" s="13">
        <v>0.35</v>
      </c>
      <c r="J32" s="13">
        <v>0.35</v>
      </c>
      <c r="K32" s="13">
        <v>0.35</v>
      </c>
      <c r="L32" s="13">
        <v>0.35</v>
      </c>
      <c r="M32" s="13">
        <v>0.35</v>
      </c>
    </row>
    <row r="33" spans="1:15" x14ac:dyDescent="0.25">
      <c r="A33" s="12" t="s">
        <v>112</v>
      </c>
      <c r="B33" s="12"/>
      <c r="C33" s="8">
        <f>C34*C14</f>
        <v>1660.0075900000002</v>
      </c>
      <c r="D33" s="8">
        <f>D34*D14</f>
        <v>2064.5929398727499</v>
      </c>
      <c r="E33" s="8">
        <f t="shared" ref="E33:F33" si="51">E34*E14</f>
        <v>2567.7858541432361</v>
      </c>
      <c r="F33" s="8">
        <f t="shared" si="51"/>
        <v>3193.6194614442957</v>
      </c>
      <c r="G33" s="8">
        <f t="shared" ref="G33:M33" si="52">G34*G14</f>
        <v>4539.4107024969217</v>
      </c>
      <c r="H33" s="8">
        <f t="shared" si="52"/>
        <v>6049.048474246053</v>
      </c>
      <c r="I33" s="8">
        <f t="shared" si="52"/>
        <v>7961.219908604945</v>
      </c>
      <c r="J33" s="8">
        <f t="shared" si="52"/>
        <v>10373.071479916813</v>
      </c>
      <c r="K33" s="8">
        <f t="shared" si="52"/>
        <v>13403.894365048867</v>
      </c>
      <c r="L33" s="8">
        <f t="shared" si="52"/>
        <v>17199.988948350416</v>
      </c>
      <c r="M33" s="8">
        <f t="shared" si="52"/>
        <v>21940.570517730379</v>
      </c>
    </row>
    <row r="34" spans="1:15" x14ac:dyDescent="0.25">
      <c r="A34" s="27" t="s">
        <v>119</v>
      </c>
      <c r="B34" s="27"/>
      <c r="C34" s="13">
        <v>0.37</v>
      </c>
      <c r="D34" s="28">
        <v>0.37</v>
      </c>
      <c r="E34" s="28">
        <v>0.37</v>
      </c>
      <c r="F34" s="28">
        <v>0.37</v>
      </c>
      <c r="G34" s="28">
        <v>0.37</v>
      </c>
      <c r="H34" s="28">
        <v>0.37</v>
      </c>
      <c r="I34" s="28">
        <v>0.37</v>
      </c>
      <c r="J34" s="28">
        <v>0.37</v>
      </c>
      <c r="K34" s="28">
        <v>0.37</v>
      </c>
      <c r="L34" s="28">
        <v>0.37</v>
      </c>
      <c r="M34" s="28">
        <v>0.37</v>
      </c>
    </row>
    <row r="35" spans="1:15" x14ac:dyDescent="0.25">
      <c r="A35" s="12" t="s">
        <v>110</v>
      </c>
      <c r="B35" s="12"/>
      <c r="C35" s="8">
        <f>C36*C8</f>
        <v>3909.1500000000005</v>
      </c>
      <c r="D35" s="8">
        <f t="shared" ref="D35:F35" si="53">D36*D8</f>
        <v>4630.388175</v>
      </c>
      <c r="E35" s="8">
        <f t="shared" si="53"/>
        <v>5484.6947932874991</v>
      </c>
      <c r="F35" s="8">
        <f t="shared" si="53"/>
        <v>6496.6209826490422</v>
      </c>
      <c r="G35" s="8">
        <f t="shared" ref="G35:M35" si="54">G36*G8</f>
        <v>8794.5686330831886</v>
      </c>
      <c r="H35" s="8">
        <f t="shared" si="54"/>
        <v>11719.312364122914</v>
      </c>
      <c r="I35" s="8">
        <f t="shared" si="54"/>
        <v>15423.917217003989</v>
      </c>
      <c r="J35" s="8">
        <f t="shared" si="54"/>
        <v>20096.592937895341</v>
      </c>
      <c r="K35" s="8">
        <f t="shared" si="54"/>
        <v>25968.452001749491</v>
      </c>
      <c r="L35" s="8">
        <f t="shared" si="54"/>
        <v>33322.934012411621</v>
      </c>
      <c r="M35" s="8">
        <f t="shared" si="54"/>
        <v>42507.247286755541</v>
      </c>
    </row>
    <row r="36" spans="1:15" x14ac:dyDescent="0.25">
      <c r="A36" s="27" t="s">
        <v>120</v>
      </c>
      <c r="B36" s="27"/>
      <c r="C36" s="28">
        <v>7.0000000000000007E-2</v>
      </c>
      <c r="D36" s="28">
        <v>7.0000000000000007E-2</v>
      </c>
      <c r="E36" s="28">
        <v>7.0000000000000007E-2</v>
      </c>
      <c r="F36" s="28">
        <v>7.0000000000000007E-2</v>
      </c>
      <c r="G36" s="28">
        <v>7.0000000000000007E-2</v>
      </c>
      <c r="H36" s="28">
        <v>7.0000000000000007E-2</v>
      </c>
      <c r="I36" s="28">
        <v>7.0000000000000007E-2</v>
      </c>
      <c r="J36" s="28">
        <v>7.0000000000000007E-2</v>
      </c>
      <c r="K36" s="28">
        <v>7.0000000000000007E-2</v>
      </c>
      <c r="L36" s="28">
        <v>7.0000000000000007E-2</v>
      </c>
      <c r="M36" s="28">
        <v>7.0000000000000007E-2</v>
      </c>
    </row>
    <row r="37" spans="1:15" x14ac:dyDescent="0.25">
      <c r="A37" s="15" t="s">
        <v>113</v>
      </c>
      <c r="B37" s="15"/>
      <c r="C37" s="8">
        <f>C31+C33+C35</f>
        <v>26520.157590000003</v>
      </c>
      <c r="D37" s="8">
        <f t="shared" ref="D37:F37" si="55">D31+D33+D35</f>
        <v>31594.666546122749</v>
      </c>
      <c r="E37" s="8">
        <f t="shared" si="55"/>
        <v>37649.668212090255</v>
      </c>
      <c r="F37" s="8">
        <f t="shared" si="55"/>
        <v>44876.847302287235</v>
      </c>
      <c r="G37" s="8">
        <f t="shared" ref="G37:M37" si="56">G31+G33+G35</f>
        <v>61149.580165546118</v>
      </c>
      <c r="H37" s="8">
        <f t="shared" si="56"/>
        <v>81741.673157368888</v>
      </c>
      <c r="I37" s="8">
        <f t="shared" si="56"/>
        <v>107934.9443368559</v>
      </c>
      <c r="J37" s="8">
        <f t="shared" si="56"/>
        <v>141117.8960545272</v>
      </c>
      <c r="K37" s="8">
        <f t="shared" si="56"/>
        <v>183006.74815804113</v>
      </c>
      <c r="L37" s="8">
        <f t="shared" si="56"/>
        <v>235720.69385612366</v>
      </c>
      <c r="M37" s="8">
        <f t="shared" si="56"/>
        <v>301874.18802092556</v>
      </c>
    </row>
    <row r="38" spans="1:15" x14ac:dyDescent="0.25">
      <c r="A38" s="12"/>
      <c r="B38" s="12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5" x14ac:dyDescent="0.25">
      <c r="A39" t="s">
        <v>121</v>
      </c>
      <c r="C39" s="8">
        <f>C40*(C8+C14+C20)</f>
        <v>3217.3253500000001</v>
      </c>
      <c r="D39" s="8">
        <f t="shared" ref="D39:F39" si="57">D40*(D8+D14+D20)</f>
        <v>3836.0969646787507</v>
      </c>
      <c r="E39" s="8">
        <f t="shared" si="57"/>
        <v>4575.1677404919528</v>
      </c>
      <c r="F39" s="8">
        <f t="shared" si="57"/>
        <v>5458.2283200916017</v>
      </c>
      <c r="G39" s="8">
        <f t="shared" ref="G39:M39" si="58">G40*(G8+G14+G20)</f>
        <v>7444.2339972823747</v>
      </c>
      <c r="H39" s="8">
        <f t="shared" si="58"/>
        <v>9956.4836000062132</v>
      </c>
      <c r="I39" s="8">
        <f t="shared" si="58"/>
        <v>13154.384415510853</v>
      </c>
      <c r="J39" s="8">
        <f t="shared" si="58"/>
        <v>17208.656650021414</v>
      </c>
      <c r="K39" s="8">
        <f t="shared" si="58"/>
        <v>22330.537332249784</v>
      </c>
      <c r="L39" s="8">
        <f t="shared" si="58"/>
        <v>28781.147244481253</v>
      </c>
      <c r="M39" s="8">
        <f t="shared" si="58"/>
        <v>36882.994849918272</v>
      </c>
    </row>
    <row r="40" spans="1:15" x14ac:dyDescent="0.25">
      <c r="A40" s="12" t="s">
        <v>122</v>
      </c>
      <c r="B40" s="12"/>
      <c r="C40" s="14">
        <v>0.05</v>
      </c>
      <c r="D40" s="14">
        <v>0.05</v>
      </c>
      <c r="E40" s="14">
        <v>0.05</v>
      </c>
      <c r="F40" s="14">
        <v>0.05</v>
      </c>
      <c r="G40" s="14">
        <v>0.05</v>
      </c>
      <c r="H40" s="14">
        <v>0.05</v>
      </c>
      <c r="I40" s="14">
        <v>0.05</v>
      </c>
      <c r="J40" s="14">
        <v>0.05</v>
      </c>
      <c r="K40" s="14">
        <v>0.05</v>
      </c>
      <c r="L40" s="14">
        <v>0.05</v>
      </c>
      <c r="M40" s="14">
        <v>0.05</v>
      </c>
    </row>
    <row r="41" spans="1:15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x14ac:dyDescent="0.25">
      <c r="A42" t="s">
        <v>208</v>
      </c>
      <c r="C42" s="9">
        <f>1200000*0.3</f>
        <v>360000</v>
      </c>
      <c r="D42" s="9">
        <f t="shared" ref="D42:M42" si="59">1200000*0.3</f>
        <v>360000</v>
      </c>
      <c r="E42" s="9">
        <f t="shared" si="59"/>
        <v>360000</v>
      </c>
      <c r="F42" s="9">
        <f t="shared" si="59"/>
        <v>360000</v>
      </c>
      <c r="G42" s="9">
        <f t="shared" si="59"/>
        <v>360000</v>
      </c>
      <c r="H42" s="9">
        <f t="shared" si="59"/>
        <v>360000</v>
      </c>
      <c r="I42" s="9">
        <f t="shared" si="59"/>
        <v>360000</v>
      </c>
      <c r="J42" s="9">
        <f t="shared" si="59"/>
        <v>360000</v>
      </c>
      <c r="K42" s="9">
        <f t="shared" si="59"/>
        <v>360000</v>
      </c>
      <c r="L42" s="9">
        <f t="shared" si="59"/>
        <v>360000</v>
      </c>
      <c r="M42" s="9">
        <f t="shared" si="59"/>
        <v>360000</v>
      </c>
      <c r="N42" s="9"/>
      <c r="O42" s="9"/>
    </row>
    <row r="43" spans="1:15" x14ac:dyDescent="0.25">
      <c r="A43" t="s">
        <v>123</v>
      </c>
      <c r="C43" s="8">
        <f>1200000*0.7</f>
        <v>840000</v>
      </c>
      <c r="D43" s="8">
        <f t="shared" ref="D43:M43" si="60">1200000*0.7</f>
        <v>840000</v>
      </c>
      <c r="E43" s="8">
        <f t="shared" si="60"/>
        <v>840000</v>
      </c>
      <c r="F43" s="8">
        <f t="shared" si="60"/>
        <v>840000</v>
      </c>
      <c r="G43" s="8">
        <f t="shared" si="60"/>
        <v>840000</v>
      </c>
      <c r="H43" s="8">
        <f t="shared" si="60"/>
        <v>840000</v>
      </c>
      <c r="I43" s="8">
        <f t="shared" si="60"/>
        <v>840000</v>
      </c>
      <c r="J43" s="8">
        <f t="shared" si="60"/>
        <v>840000</v>
      </c>
      <c r="K43" s="8">
        <f t="shared" si="60"/>
        <v>840000</v>
      </c>
      <c r="L43" s="8">
        <f t="shared" si="60"/>
        <v>840000</v>
      </c>
      <c r="M43" s="8">
        <f t="shared" si="60"/>
        <v>840000</v>
      </c>
    </row>
    <row r="44" spans="1:15" x14ac:dyDescent="0.25">
      <c r="A44" t="s">
        <v>124</v>
      </c>
      <c r="C44" s="8">
        <f>C43/30</f>
        <v>28000</v>
      </c>
      <c r="D44" s="8">
        <f t="shared" ref="D44:F44" si="61">D43/30</f>
        <v>28000</v>
      </c>
      <c r="E44" s="8">
        <f t="shared" si="61"/>
        <v>28000</v>
      </c>
      <c r="F44" s="8">
        <f t="shared" si="61"/>
        <v>28000</v>
      </c>
      <c r="G44" s="8">
        <f t="shared" ref="G44:M44" si="62">G43/30</f>
        <v>28000</v>
      </c>
      <c r="H44" s="8">
        <f t="shared" si="62"/>
        <v>28000</v>
      </c>
      <c r="I44" s="8">
        <f t="shared" si="62"/>
        <v>28000</v>
      </c>
      <c r="J44" s="8">
        <f t="shared" si="62"/>
        <v>28000</v>
      </c>
      <c r="K44" s="8">
        <f t="shared" si="62"/>
        <v>28000</v>
      </c>
      <c r="L44" s="8">
        <f t="shared" si="62"/>
        <v>28000</v>
      </c>
      <c r="M44" s="8">
        <f t="shared" si="62"/>
        <v>28000</v>
      </c>
    </row>
    <row r="46" spans="1:15" x14ac:dyDescent="0.25">
      <c r="A46" t="s">
        <v>59</v>
      </c>
      <c r="C46" s="42">
        <v>7.5929999999999997E-2</v>
      </c>
      <c r="D46" s="42">
        <v>7.5929999999999997E-2</v>
      </c>
      <c r="E46" s="42">
        <v>7.5929999999999997E-2</v>
      </c>
      <c r="F46" s="42">
        <v>7.5929999999999997E-2</v>
      </c>
      <c r="G46" s="42">
        <v>7.5929999999999997E-2</v>
      </c>
      <c r="H46" s="42">
        <v>7.5929999999999997E-2</v>
      </c>
      <c r="I46" s="42">
        <v>7.5929999999999997E-2</v>
      </c>
      <c r="J46" s="42">
        <v>7.5929999999999997E-2</v>
      </c>
      <c r="K46" s="42">
        <v>7.5929999999999997E-2</v>
      </c>
      <c r="L46" s="42">
        <v>7.5929999999999997E-2</v>
      </c>
      <c r="M46" s="42">
        <v>7.5929999999999997E-2</v>
      </c>
      <c r="N46" t="s">
        <v>184</v>
      </c>
    </row>
    <row r="47" spans="1:15" x14ac:dyDescent="0.25">
      <c r="A47" t="s">
        <v>58</v>
      </c>
      <c r="C47" s="8">
        <v>120000</v>
      </c>
      <c r="D47" s="8">
        <f>C47</f>
        <v>120000</v>
      </c>
      <c r="E47" s="8">
        <f t="shared" ref="E47:F47" si="63">D47</f>
        <v>120000</v>
      </c>
      <c r="F47" s="8">
        <f t="shared" si="63"/>
        <v>120000</v>
      </c>
      <c r="G47" s="8">
        <f t="shared" ref="G47" si="64">F47</f>
        <v>120000</v>
      </c>
      <c r="H47" s="8">
        <f t="shared" ref="H47" si="65">G47</f>
        <v>120000</v>
      </c>
      <c r="I47" s="8">
        <f t="shared" ref="I47" si="66">H47</f>
        <v>120000</v>
      </c>
      <c r="J47" s="8">
        <f t="shared" ref="J47" si="67">I47</f>
        <v>120000</v>
      </c>
      <c r="K47" s="8">
        <f t="shared" ref="K47" si="68">J47</f>
        <v>120000</v>
      </c>
      <c r="L47" s="8">
        <f t="shared" ref="L47:M47" si="69">K47</f>
        <v>120000</v>
      </c>
      <c r="M47" s="8">
        <f t="shared" si="69"/>
        <v>120000</v>
      </c>
    </row>
    <row r="49" spans="1:13" x14ac:dyDescent="0.25">
      <c r="A49" t="s">
        <v>60</v>
      </c>
      <c r="C49" s="14">
        <v>0.2</v>
      </c>
      <c r="D49" s="14">
        <v>0.2</v>
      </c>
      <c r="E49" s="14">
        <v>0.2</v>
      </c>
      <c r="F49" s="14">
        <v>0.2</v>
      </c>
      <c r="G49" s="14">
        <v>0.2</v>
      </c>
      <c r="H49" s="14">
        <v>0.2</v>
      </c>
      <c r="I49" s="14">
        <v>0.2</v>
      </c>
      <c r="J49" s="14">
        <v>0.2</v>
      </c>
      <c r="K49" s="14">
        <v>0.2</v>
      </c>
      <c r="L49" s="14">
        <v>0.2</v>
      </c>
      <c r="M49" s="14">
        <v>0.2</v>
      </c>
    </row>
    <row r="50" spans="1:13" x14ac:dyDescent="0.25">
      <c r="A50" t="s">
        <v>61</v>
      </c>
      <c r="C50" s="8">
        <v>1000</v>
      </c>
      <c r="D50" s="8">
        <f>C50</f>
        <v>1000</v>
      </c>
      <c r="E50" s="8">
        <f t="shared" ref="E50:F50" si="70">D50</f>
        <v>1000</v>
      </c>
      <c r="F50" s="8">
        <f t="shared" si="70"/>
        <v>1000</v>
      </c>
      <c r="G50" s="8">
        <f t="shared" ref="G50" si="71">F50</f>
        <v>1000</v>
      </c>
      <c r="H50" s="8">
        <f t="shared" ref="H50" si="72">G50</f>
        <v>1000</v>
      </c>
      <c r="I50" s="8">
        <f t="shared" ref="I50" si="73">H50</f>
        <v>1000</v>
      </c>
      <c r="J50" s="8">
        <f t="shared" ref="J50" si="74">I50</f>
        <v>1000</v>
      </c>
      <c r="K50" s="8">
        <f t="shared" ref="K50" si="75">J50</f>
        <v>1000</v>
      </c>
      <c r="L50" s="8">
        <f t="shared" ref="L50:M50" si="76">K50</f>
        <v>1000</v>
      </c>
      <c r="M50" s="8">
        <f t="shared" si="76"/>
        <v>1000</v>
      </c>
    </row>
    <row r="52" spans="1:13" ht="15.75" x14ac:dyDescent="0.25">
      <c r="C52" s="20">
        <v>2012</v>
      </c>
      <c r="D52" s="20">
        <v>2013</v>
      </c>
      <c r="E52" s="20">
        <v>2014</v>
      </c>
      <c r="F52" s="20">
        <v>2015</v>
      </c>
      <c r="G52" s="20">
        <v>2016</v>
      </c>
      <c r="H52" s="20">
        <v>2017</v>
      </c>
      <c r="I52" s="20">
        <v>2018</v>
      </c>
      <c r="J52" s="20">
        <v>2019</v>
      </c>
      <c r="K52" s="20">
        <v>2020</v>
      </c>
      <c r="L52" s="20">
        <v>2021</v>
      </c>
      <c r="M52" s="20">
        <v>2022</v>
      </c>
    </row>
    <row r="53" spans="1:13" ht="15.75" x14ac:dyDescent="0.25">
      <c r="A53" s="21" t="s">
        <v>62</v>
      </c>
      <c r="B53" s="21"/>
    </row>
    <row r="54" spans="1:13" x14ac:dyDescent="0.25">
      <c r="A54" s="12" t="s">
        <v>125</v>
      </c>
      <c r="B54" s="12"/>
      <c r="C54" s="9">
        <f>C8</f>
        <v>55845</v>
      </c>
      <c r="D54" s="9">
        <f t="shared" ref="D54:F54" si="77">D8</f>
        <v>66148.402499999997</v>
      </c>
      <c r="E54" s="9">
        <f t="shared" si="77"/>
        <v>78352.782761249982</v>
      </c>
      <c r="F54" s="9">
        <f t="shared" si="77"/>
        <v>92808.871180700589</v>
      </c>
      <c r="G54" s="9">
        <f t="shared" ref="G54:M54" si="78">G8</f>
        <v>125636.69475833126</v>
      </c>
      <c r="H54" s="9">
        <f t="shared" si="78"/>
        <v>167418.74805889875</v>
      </c>
      <c r="I54" s="9">
        <f t="shared" si="78"/>
        <v>220341.67452862838</v>
      </c>
      <c r="J54" s="9">
        <f t="shared" si="78"/>
        <v>287094.18482707627</v>
      </c>
      <c r="K54" s="9">
        <f t="shared" si="78"/>
        <v>370977.8857392784</v>
      </c>
      <c r="L54" s="9">
        <f t="shared" si="78"/>
        <v>476041.91446302313</v>
      </c>
      <c r="M54" s="9">
        <f t="shared" si="78"/>
        <v>607246.38981079333</v>
      </c>
    </row>
    <row r="55" spans="1:13" x14ac:dyDescent="0.25">
      <c r="A55" s="12" t="s">
        <v>126</v>
      </c>
      <c r="B55" s="12"/>
      <c r="C55" s="9">
        <f>C14</f>
        <v>4486.5070000000005</v>
      </c>
      <c r="D55" s="9">
        <f t="shared" ref="D55:F55" si="79">D14</f>
        <v>5579.9809185749991</v>
      </c>
      <c r="E55" s="9">
        <f t="shared" si="79"/>
        <v>6939.9617679546918</v>
      </c>
      <c r="F55" s="9">
        <f t="shared" si="79"/>
        <v>8631.4039498494476</v>
      </c>
      <c r="G55" s="9">
        <f t="shared" ref="G55:M55" si="80">G14</f>
        <v>12268.677574316005</v>
      </c>
      <c r="H55" s="9">
        <f t="shared" si="80"/>
        <v>16348.779660124468</v>
      </c>
      <c r="I55" s="9">
        <f t="shared" si="80"/>
        <v>21516.810563797149</v>
      </c>
      <c r="J55" s="9">
        <f t="shared" si="80"/>
        <v>28035.328324099493</v>
      </c>
      <c r="K55" s="9">
        <f t="shared" si="80"/>
        <v>36226.741527159102</v>
      </c>
      <c r="L55" s="9">
        <f t="shared" si="80"/>
        <v>46486.456617163283</v>
      </c>
      <c r="M55" s="9">
        <f t="shared" si="80"/>
        <v>59298.839237109132</v>
      </c>
    </row>
    <row r="56" spans="1:13" x14ac:dyDescent="0.25">
      <c r="A56" s="12" t="s">
        <v>127</v>
      </c>
      <c r="B56" s="12"/>
      <c r="C56" s="16">
        <f>C20</f>
        <v>4015</v>
      </c>
      <c r="D56" s="16">
        <f t="shared" ref="D56:F56" si="81">D20</f>
        <v>4993.555875</v>
      </c>
      <c r="E56" s="16">
        <f t="shared" si="81"/>
        <v>6210.6102806343742</v>
      </c>
      <c r="F56" s="16">
        <f t="shared" si="81"/>
        <v>7724.2912712819871</v>
      </c>
      <c r="G56" s="16">
        <f t="shared" ref="G56:M56" si="82">G20</f>
        <v>10979.307613000215</v>
      </c>
      <c r="H56" s="16">
        <f t="shared" si="82"/>
        <v>15362.144281101029</v>
      </c>
      <c r="I56" s="16">
        <f t="shared" si="82"/>
        <v>21229.203217791528</v>
      </c>
      <c r="J56" s="16">
        <f t="shared" si="82"/>
        <v>29043.61984925254</v>
      </c>
      <c r="K56" s="16">
        <f t="shared" si="82"/>
        <v>39406.119378558127</v>
      </c>
      <c r="L56" s="16">
        <f t="shared" si="82"/>
        <v>53094.57380943864</v>
      </c>
      <c r="M56" s="16">
        <f t="shared" si="82"/>
        <v>71114.667950462841</v>
      </c>
    </row>
    <row r="57" spans="1:13" x14ac:dyDescent="0.25">
      <c r="A57" t="s">
        <v>63</v>
      </c>
      <c r="C57" s="9">
        <f>C54+C55+C56</f>
        <v>64346.506999999998</v>
      </c>
      <c r="D57" s="9">
        <f t="shared" ref="D57:F57" si="83">D54+D55+D56</f>
        <v>76721.939293575007</v>
      </c>
      <c r="E57" s="9">
        <f t="shared" si="83"/>
        <v>91503.354809839046</v>
      </c>
      <c r="F57" s="9">
        <f t="shared" si="83"/>
        <v>109164.56640183202</v>
      </c>
      <c r="G57" s="9">
        <f t="shared" ref="G57:M57" si="84">G54+G55+G56</f>
        <v>148884.67994564748</v>
      </c>
      <c r="H57" s="9">
        <f t="shared" si="84"/>
        <v>199129.67200012426</v>
      </c>
      <c r="I57" s="9">
        <f t="shared" si="84"/>
        <v>263087.68831021705</v>
      </c>
      <c r="J57" s="9">
        <f t="shared" si="84"/>
        <v>344173.13300042826</v>
      </c>
      <c r="K57" s="9">
        <f t="shared" si="84"/>
        <v>446610.74664499564</v>
      </c>
      <c r="L57" s="9">
        <f t="shared" si="84"/>
        <v>575622.94488962507</v>
      </c>
      <c r="M57" s="9">
        <f t="shared" si="84"/>
        <v>737659.89699836541</v>
      </c>
    </row>
    <row r="58" spans="1:13" x14ac:dyDescent="0.25">
      <c r="A58" t="s">
        <v>64</v>
      </c>
      <c r="C58" s="16">
        <f>(C12*C13*C5*365)+(C18*C19*C5*365)</f>
        <v>4279.1869999999999</v>
      </c>
      <c r="D58" s="16">
        <f t="shared" ref="D58:F58" si="85">(D12*D13*D5*365)+(D18*D19*D5*365)</f>
        <v>5322.1318515749999</v>
      </c>
      <c r="E58" s="16">
        <f t="shared" si="85"/>
        <v>6619.268437100116</v>
      </c>
      <c r="F58" s="16">
        <f t="shared" si="85"/>
        <v>8232.5496369323409</v>
      </c>
      <c r="G58" s="16">
        <f t="shared" ref="G58:M58" si="86">(G12*G13*G5*365)+(G18*G19*G5*365)</f>
        <v>11701.746053935629</v>
      </c>
      <c r="H58" s="16">
        <f t="shared" si="86"/>
        <v>15959.073316023811</v>
      </c>
      <c r="I58" s="16">
        <f t="shared" si="86"/>
        <v>21509.370933727005</v>
      </c>
      <c r="J58" s="16">
        <f t="shared" si="86"/>
        <v>28717.149616415139</v>
      </c>
      <c r="K58" s="16">
        <f t="shared" si="86"/>
        <v>38046.019541923321</v>
      </c>
      <c r="L58" s="16">
        <f t="shared" si="86"/>
        <v>50085.125845631206</v>
      </c>
      <c r="M58" s="16">
        <f t="shared" si="86"/>
        <v>65582.56344885772</v>
      </c>
    </row>
    <row r="59" spans="1:13" x14ac:dyDescent="0.25">
      <c r="A59" t="s">
        <v>65</v>
      </c>
      <c r="C59" s="9">
        <f>C57-C58</f>
        <v>60067.32</v>
      </c>
      <c r="D59" s="9">
        <f t="shared" ref="D59:F59" si="87">D57-D58</f>
        <v>71399.807442000005</v>
      </c>
      <c r="E59" s="9">
        <f t="shared" si="87"/>
        <v>84884.086372738937</v>
      </c>
      <c r="F59" s="9">
        <f t="shared" si="87"/>
        <v>100932.01676489969</v>
      </c>
      <c r="G59" s="9">
        <f t="shared" ref="G59:M59" si="88">G57-G58</f>
        <v>137182.93389171184</v>
      </c>
      <c r="H59" s="9">
        <f t="shared" si="88"/>
        <v>183170.59868410046</v>
      </c>
      <c r="I59" s="9">
        <f t="shared" si="88"/>
        <v>241578.31737649004</v>
      </c>
      <c r="J59" s="9">
        <f t="shared" si="88"/>
        <v>315455.98338401312</v>
      </c>
      <c r="K59" s="9">
        <f t="shared" si="88"/>
        <v>408564.72710307234</v>
      </c>
      <c r="L59" s="9">
        <f t="shared" si="88"/>
        <v>525537.81904399383</v>
      </c>
      <c r="M59" s="9">
        <f t="shared" si="88"/>
        <v>672077.33354950766</v>
      </c>
    </row>
    <row r="61" spans="1:13" x14ac:dyDescent="0.25">
      <c r="A61" t="s">
        <v>66</v>
      </c>
      <c r="C61" s="9">
        <f t="shared" ref="C61:M61" si="89">C24</f>
        <v>5599.7999999999993</v>
      </c>
      <c r="D61" s="9">
        <f t="shared" si="89"/>
        <v>5599.7999999999993</v>
      </c>
      <c r="E61" s="9">
        <f t="shared" si="89"/>
        <v>5599.7999999999993</v>
      </c>
      <c r="F61" s="9">
        <f t="shared" si="89"/>
        <v>5599.7999999999993</v>
      </c>
      <c r="G61" s="9">
        <f t="shared" si="89"/>
        <v>5599.7999999999993</v>
      </c>
      <c r="H61" s="9">
        <f t="shared" si="89"/>
        <v>5599.7999999999993</v>
      </c>
      <c r="I61" s="9">
        <f t="shared" si="89"/>
        <v>5599.7999999999993</v>
      </c>
      <c r="J61" s="9">
        <f t="shared" si="89"/>
        <v>5599.7999999999993</v>
      </c>
      <c r="K61" s="9">
        <f t="shared" si="89"/>
        <v>5599.7999999999993</v>
      </c>
      <c r="L61" s="9">
        <f t="shared" si="89"/>
        <v>5599.7999999999993</v>
      </c>
      <c r="M61" s="9">
        <f t="shared" si="89"/>
        <v>5599.7999999999993</v>
      </c>
    </row>
    <row r="62" spans="1:13" x14ac:dyDescent="0.25">
      <c r="A62" t="str">
        <f>A31</f>
        <v>Front Desk Labor</v>
      </c>
      <c r="C62" s="9">
        <f>C31</f>
        <v>20951</v>
      </c>
      <c r="D62" s="9">
        <f t="shared" ref="D62:F62" si="90">D31</f>
        <v>24899.68543125</v>
      </c>
      <c r="E62" s="9">
        <f t="shared" si="90"/>
        <v>29597.187564659522</v>
      </c>
      <c r="F62" s="9">
        <f t="shared" si="90"/>
        <v>35186.606858193896</v>
      </c>
      <c r="G62" s="9">
        <f t="shared" ref="G62:M62" si="91">G31</f>
        <v>47815.60082996601</v>
      </c>
      <c r="H62" s="9">
        <f t="shared" si="91"/>
        <v>63973.312318999924</v>
      </c>
      <c r="I62" s="9">
        <f t="shared" si="91"/>
        <v>84549.807211246967</v>
      </c>
      <c r="J62" s="9">
        <f t="shared" si="91"/>
        <v>110648.23163671506</v>
      </c>
      <c r="K62" s="9">
        <f t="shared" si="91"/>
        <v>143634.40179124277</v>
      </c>
      <c r="L62" s="9">
        <f t="shared" si="91"/>
        <v>185197.77089536161</v>
      </c>
      <c r="M62" s="9">
        <f t="shared" si="91"/>
        <v>237426.37021643962</v>
      </c>
    </row>
    <row r="63" spans="1:13" x14ac:dyDescent="0.25">
      <c r="A63" t="str">
        <f>A33</f>
        <v>Cooking Labor</v>
      </c>
      <c r="C63" s="9">
        <f>C33</f>
        <v>1660.0075900000002</v>
      </c>
      <c r="D63" s="9">
        <f t="shared" ref="D63:F63" si="92">D33</f>
        <v>2064.5929398727499</v>
      </c>
      <c r="E63" s="9">
        <f t="shared" si="92"/>
        <v>2567.7858541432361</v>
      </c>
      <c r="F63" s="9">
        <f t="shared" si="92"/>
        <v>3193.6194614442957</v>
      </c>
      <c r="G63" s="9">
        <f t="shared" ref="G63:M63" si="93">G33</f>
        <v>4539.4107024969217</v>
      </c>
      <c r="H63" s="9">
        <f t="shared" si="93"/>
        <v>6049.048474246053</v>
      </c>
      <c r="I63" s="9">
        <f t="shared" si="93"/>
        <v>7961.219908604945</v>
      </c>
      <c r="J63" s="9">
        <f t="shared" si="93"/>
        <v>10373.071479916813</v>
      </c>
      <c r="K63" s="9">
        <f t="shared" si="93"/>
        <v>13403.894365048867</v>
      </c>
      <c r="L63" s="9">
        <f t="shared" si="93"/>
        <v>17199.988948350416</v>
      </c>
      <c r="M63" s="9">
        <f t="shared" si="93"/>
        <v>21940.570517730379</v>
      </c>
    </row>
    <row r="64" spans="1:13" x14ac:dyDescent="0.25">
      <c r="A64" t="str">
        <f>A35</f>
        <v>Cleaning Labor</v>
      </c>
      <c r="C64" s="9">
        <f>C35</f>
        <v>3909.1500000000005</v>
      </c>
      <c r="D64" s="9">
        <f t="shared" ref="D64:F64" si="94">D35</f>
        <v>4630.388175</v>
      </c>
      <c r="E64" s="9">
        <f t="shared" si="94"/>
        <v>5484.6947932874991</v>
      </c>
      <c r="F64" s="9">
        <f t="shared" si="94"/>
        <v>6496.6209826490422</v>
      </c>
      <c r="G64" s="9">
        <f t="shared" ref="G64:M64" si="95">G35</f>
        <v>8794.5686330831886</v>
      </c>
      <c r="H64" s="9">
        <f t="shared" si="95"/>
        <v>11719.312364122914</v>
      </c>
      <c r="I64" s="9">
        <f t="shared" si="95"/>
        <v>15423.917217003989</v>
      </c>
      <c r="J64" s="9">
        <f t="shared" si="95"/>
        <v>20096.592937895341</v>
      </c>
      <c r="K64" s="9">
        <f t="shared" si="95"/>
        <v>25968.452001749491</v>
      </c>
      <c r="L64" s="9">
        <f t="shared" si="95"/>
        <v>33322.934012411621</v>
      </c>
      <c r="M64" s="9">
        <f t="shared" si="95"/>
        <v>42507.247286755541</v>
      </c>
    </row>
    <row r="65" spans="1:13" x14ac:dyDescent="0.25">
      <c r="A65" t="s">
        <v>67</v>
      </c>
      <c r="C65" s="9">
        <f>C27</f>
        <v>4500</v>
      </c>
      <c r="D65" s="9">
        <f t="shared" ref="D65:F65" si="96">D27</f>
        <v>4500</v>
      </c>
      <c r="E65" s="9">
        <f t="shared" si="96"/>
        <v>4500</v>
      </c>
      <c r="F65" s="9">
        <f t="shared" si="96"/>
        <v>4500</v>
      </c>
      <c r="G65" s="9">
        <f t="shared" ref="G65:M65" si="97">G27</f>
        <v>4500</v>
      </c>
      <c r="H65" s="9">
        <f t="shared" si="97"/>
        <v>4500</v>
      </c>
      <c r="I65" s="9">
        <f t="shared" si="97"/>
        <v>4500</v>
      </c>
      <c r="J65" s="9">
        <f t="shared" si="97"/>
        <v>4500</v>
      </c>
      <c r="K65" s="9">
        <f t="shared" si="97"/>
        <v>4500</v>
      </c>
      <c r="L65" s="9">
        <f t="shared" si="97"/>
        <v>4500</v>
      </c>
      <c r="M65" s="9">
        <f t="shared" si="97"/>
        <v>4500</v>
      </c>
    </row>
    <row r="66" spans="1:13" x14ac:dyDescent="0.25">
      <c r="A66" t="s">
        <v>68</v>
      </c>
      <c r="C66" s="9">
        <f>C39</f>
        <v>3217.3253500000001</v>
      </c>
      <c r="D66" s="9">
        <f t="shared" ref="D66:F66" si="98">D39</f>
        <v>3836.0969646787507</v>
      </c>
      <c r="E66" s="9">
        <f t="shared" si="98"/>
        <v>4575.1677404919528</v>
      </c>
      <c r="F66" s="9">
        <f t="shared" si="98"/>
        <v>5458.2283200916017</v>
      </c>
      <c r="G66" s="9">
        <f t="shared" ref="G66:M66" si="99">G39</f>
        <v>7444.2339972823747</v>
      </c>
      <c r="H66" s="9">
        <f t="shared" si="99"/>
        <v>9956.4836000062132</v>
      </c>
      <c r="I66" s="9">
        <f t="shared" si="99"/>
        <v>13154.384415510853</v>
      </c>
      <c r="J66" s="9">
        <f t="shared" si="99"/>
        <v>17208.656650021414</v>
      </c>
      <c r="K66" s="9">
        <f t="shared" si="99"/>
        <v>22330.537332249784</v>
      </c>
      <c r="L66" s="9">
        <f t="shared" si="99"/>
        <v>28781.147244481253</v>
      </c>
      <c r="M66" s="9">
        <f t="shared" si="99"/>
        <v>36882.994849918272</v>
      </c>
    </row>
    <row r="67" spans="1:13" x14ac:dyDescent="0.25">
      <c r="A67" t="s">
        <v>69</v>
      </c>
      <c r="C67" s="9">
        <f>C44</f>
        <v>28000</v>
      </c>
      <c r="D67" s="9">
        <f t="shared" ref="D67:F67" si="100">D44</f>
        <v>28000</v>
      </c>
      <c r="E67" s="9">
        <f t="shared" si="100"/>
        <v>28000</v>
      </c>
      <c r="F67" s="9">
        <f t="shared" si="100"/>
        <v>28000</v>
      </c>
      <c r="G67" s="9">
        <f t="shared" ref="G67:M67" si="101">G44</f>
        <v>28000</v>
      </c>
      <c r="H67" s="9">
        <f t="shared" si="101"/>
        <v>28000</v>
      </c>
      <c r="I67" s="9">
        <f t="shared" si="101"/>
        <v>28000</v>
      </c>
      <c r="J67" s="9">
        <f t="shared" si="101"/>
        <v>28000</v>
      </c>
      <c r="K67" s="9">
        <f t="shared" si="101"/>
        <v>28000</v>
      </c>
      <c r="L67" s="9">
        <f t="shared" si="101"/>
        <v>28000</v>
      </c>
      <c r="M67" s="9">
        <f t="shared" si="101"/>
        <v>28000</v>
      </c>
    </row>
    <row r="68" spans="1:13" x14ac:dyDescent="0.25">
      <c r="A68" t="s">
        <v>70</v>
      </c>
      <c r="C68" s="17">
        <f>Mortgage!D14</f>
        <v>83618.542469842796</v>
      </c>
      <c r="D68" s="17">
        <f>Mortgage!D28</f>
        <v>82338.626676248445</v>
      </c>
      <c r="E68" s="17">
        <f>Mortgage!D42</f>
        <v>80947.96907242146</v>
      </c>
      <c r="F68" s="17">
        <f>Mortgage!D56</f>
        <v>79456.780717970541</v>
      </c>
      <c r="G68" s="17">
        <f>Mortgage!D70</f>
        <v>77857.794236804431</v>
      </c>
      <c r="H68" s="17">
        <f>Mortgage!D84</f>
        <v>76143.216893626828</v>
      </c>
      <c r="I68" s="17">
        <f>Mortgage!D98</f>
        <v>74304.692615676642</v>
      </c>
      <c r="J68" s="17">
        <f>Mortgage!D112</f>
        <v>72333.261269017297</v>
      </c>
      <c r="K68" s="17">
        <f>Mortgage!D126</f>
        <v>70219.314990905419</v>
      </c>
      <c r="L68" s="17">
        <f>Mortgage!D140</f>
        <v>67952.551365423089</v>
      </c>
      <c r="M68" s="17">
        <f>Mortgage!D154</f>
        <v>65521.923214172682</v>
      </c>
    </row>
    <row r="69" spans="1:13" x14ac:dyDescent="0.25">
      <c r="A69" s="12" t="s">
        <v>71</v>
      </c>
      <c r="B69" s="12"/>
      <c r="C69" s="9">
        <f>SUM(C61:C68)</f>
        <v>151455.8254098428</v>
      </c>
      <c r="D69" s="9">
        <f>SUM(D61:D68)</f>
        <v>155869.19018704994</v>
      </c>
      <c r="E69" s="9">
        <f t="shared" ref="E69:F69" si="102">SUM(E61:E68)</f>
        <v>161272.60502500366</v>
      </c>
      <c r="F69" s="9">
        <f t="shared" si="102"/>
        <v>167891.65634034938</v>
      </c>
      <c r="G69" s="9">
        <f t="shared" ref="G69:M69" si="103">SUM(G61:G68)</f>
        <v>184551.4083996329</v>
      </c>
      <c r="H69" s="9">
        <f t="shared" si="103"/>
        <v>205941.17365100194</v>
      </c>
      <c r="I69" s="9">
        <f t="shared" si="103"/>
        <v>233493.8213680434</v>
      </c>
      <c r="J69" s="9">
        <f t="shared" si="103"/>
        <v>268759.61397356592</v>
      </c>
      <c r="K69" s="9">
        <f t="shared" si="103"/>
        <v>313656.4004811963</v>
      </c>
      <c r="L69" s="9">
        <f t="shared" si="103"/>
        <v>370554.19246602798</v>
      </c>
      <c r="M69" s="9">
        <f t="shared" si="103"/>
        <v>442378.90608501656</v>
      </c>
    </row>
    <row r="71" spans="1:13" x14ac:dyDescent="0.25">
      <c r="A71" t="s">
        <v>72</v>
      </c>
      <c r="C71" s="9">
        <f>C59-C69</f>
        <v>-91388.505409842794</v>
      </c>
      <c r="D71" s="9">
        <f t="shared" ref="D71:F71" si="104">D59-D69</f>
        <v>-84469.382745049938</v>
      </c>
      <c r="E71" s="9">
        <f t="shared" si="104"/>
        <v>-76388.518652264727</v>
      </c>
      <c r="F71" s="9">
        <f t="shared" si="104"/>
        <v>-66959.639575449692</v>
      </c>
      <c r="G71" s="9">
        <f t="shared" ref="G71:M71" si="105">G59-G69</f>
        <v>-47368.474507921055</v>
      </c>
      <c r="H71" s="9">
        <f t="shared" si="105"/>
        <v>-22770.574966901477</v>
      </c>
      <c r="I71" s="9">
        <f t="shared" si="105"/>
        <v>8084.4960084466438</v>
      </c>
      <c r="J71" s="9">
        <f t="shared" si="105"/>
        <v>46696.369410447194</v>
      </c>
      <c r="K71" s="9">
        <f t="shared" si="105"/>
        <v>94908.32662187604</v>
      </c>
      <c r="L71" s="9">
        <f t="shared" si="105"/>
        <v>154983.62657796586</v>
      </c>
      <c r="M71" s="9">
        <f t="shared" si="105"/>
        <v>229698.42746449111</v>
      </c>
    </row>
    <row r="72" spans="1:13" x14ac:dyDescent="0.25">
      <c r="A72" t="s">
        <v>74</v>
      </c>
      <c r="C72" s="18" t="str">
        <f>IF(C71&lt;0,"",C71*C49)</f>
        <v/>
      </c>
      <c r="D72" s="18" t="str">
        <f t="shared" ref="D72:F72" si="106">IF(D71&lt;0,"",D71*D49)</f>
        <v/>
      </c>
      <c r="E72" s="18" t="str">
        <f t="shared" si="106"/>
        <v/>
      </c>
      <c r="F72" s="18" t="str">
        <f t="shared" si="106"/>
        <v/>
      </c>
      <c r="G72" s="18" t="str">
        <f t="shared" ref="G72:M72" si="107">IF(G71&lt;0,"",G71*G49)</f>
        <v/>
      </c>
      <c r="H72" s="18" t="str">
        <f t="shared" si="107"/>
        <v/>
      </c>
      <c r="I72" s="18">
        <f t="shared" si="107"/>
        <v>1616.8992016893289</v>
      </c>
      <c r="J72" s="18">
        <f t="shared" si="107"/>
        <v>9339.2738820894392</v>
      </c>
      <c r="K72" s="18">
        <f t="shared" si="107"/>
        <v>18981.665324375208</v>
      </c>
      <c r="L72" s="18">
        <f t="shared" si="107"/>
        <v>30996.725315593172</v>
      </c>
      <c r="M72" s="18">
        <f t="shared" si="107"/>
        <v>45939.685492898221</v>
      </c>
    </row>
    <row r="73" spans="1:13" ht="15.75" thickBot="1" x14ac:dyDescent="0.3">
      <c r="A73" t="s">
        <v>73</v>
      </c>
      <c r="C73" s="19">
        <f>IF(C72="",C71,C71-C72)</f>
        <v>-91388.505409842794</v>
      </c>
      <c r="D73" s="19">
        <f t="shared" ref="D73:F73" si="108">IF(D72="",D71,D71-D72)</f>
        <v>-84469.382745049938</v>
      </c>
      <c r="E73" s="19">
        <f t="shared" si="108"/>
        <v>-76388.518652264727</v>
      </c>
      <c r="F73" s="19">
        <f t="shared" si="108"/>
        <v>-66959.639575449692</v>
      </c>
      <c r="G73" s="19">
        <f t="shared" ref="G73:M73" si="109">IF(G72="",G71,G71-G72)</f>
        <v>-47368.474507921055</v>
      </c>
      <c r="H73" s="19">
        <f t="shared" si="109"/>
        <v>-22770.574966901477</v>
      </c>
      <c r="I73" s="19">
        <f t="shared" si="109"/>
        <v>6467.5968067573149</v>
      </c>
      <c r="J73" s="19">
        <f t="shared" si="109"/>
        <v>37357.095528357757</v>
      </c>
      <c r="K73" s="19">
        <f t="shared" si="109"/>
        <v>75926.661297500832</v>
      </c>
      <c r="L73" s="19">
        <f t="shared" si="109"/>
        <v>123986.90126237269</v>
      </c>
      <c r="M73" s="19">
        <f t="shared" si="109"/>
        <v>183758.74197159288</v>
      </c>
    </row>
    <row r="74" spans="1:13" ht="15.75" thickTop="1" x14ac:dyDescent="0.25"/>
    <row r="76" spans="1:13" ht="15.75" x14ac:dyDescent="0.25">
      <c r="C76" s="20">
        <v>2012</v>
      </c>
      <c r="D76" s="20">
        <v>2013</v>
      </c>
      <c r="E76" s="20">
        <v>2014</v>
      </c>
      <c r="F76" s="20">
        <v>2015</v>
      </c>
      <c r="G76" s="20">
        <v>2016</v>
      </c>
      <c r="H76" s="20">
        <v>2017</v>
      </c>
      <c r="I76" s="20">
        <v>2018</v>
      </c>
      <c r="J76" s="20">
        <v>2019</v>
      </c>
      <c r="K76" s="20">
        <v>2020</v>
      </c>
      <c r="L76" s="20">
        <v>2021</v>
      </c>
      <c r="M76" s="20">
        <v>2022</v>
      </c>
    </row>
    <row r="77" spans="1:13" ht="15.75" x14ac:dyDescent="0.25">
      <c r="A77" s="21" t="s">
        <v>75</v>
      </c>
      <c r="B77" s="21"/>
    </row>
    <row r="78" spans="1:13" x14ac:dyDescent="0.25">
      <c r="A78" s="7" t="s">
        <v>76</v>
      </c>
      <c r="B78" s="7"/>
    </row>
    <row r="79" spans="1:13" x14ac:dyDescent="0.25">
      <c r="A79" s="12" t="s">
        <v>175</v>
      </c>
      <c r="B79" s="12"/>
      <c r="C79" s="9">
        <f>C50</f>
        <v>1000</v>
      </c>
      <c r="D79" s="9">
        <f t="shared" ref="D79:M79" si="110">D50</f>
        <v>1000</v>
      </c>
      <c r="E79" s="9">
        <f t="shared" si="110"/>
        <v>1000</v>
      </c>
      <c r="F79" s="9">
        <f t="shared" si="110"/>
        <v>1000</v>
      </c>
      <c r="G79" s="9">
        <f t="shared" si="110"/>
        <v>1000</v>
      </c>
      <c r="H79" s="9">
        <f t="shared" si="110"/>
        <v>1000</v>
      </c>
      <c r="I79" s="9">
        <f t="shared" si="110"/>
        <v>1000</v>
      </c>
      <c r="J79" s="9">
        <f t="shared" si="110"/>
        <v>1000</v>
      </c>
      <c r="K79" s="9">
        <f t="shared" si="110"/>
        <v>1000</v>
      </c>
      <c r="L79" s="9">
        <f t="shared" si="110"/>
        <v>1000</v>
      </c>
      <c r="M79" s="9">
        <f t="shared" si="110"/>
        <v>1000</v>
      </c>
    </row>
    <row r="80" spans="1:13" x14ac:dyDescent="0.25">
      <c r="A80" s="43" t="s">
        <v>176</v>
      </c>
      <c r="B80" s="12"/>
      <c r="C80" s="9">
        <v>38388.03</v>
      </c>
      <c r="D80" s="9"/>
      <c r="E80" s="9"/>
      <c r="F80" s="9"/>
      <c r="G80" s="9"/>
      <c r="H80" s="9"/>
      <c r="I80" s="9"/>
      <c r="J80" s="9"/>
      <c r="K80" s="9"/>
      <c r="L80" s="9">
        <v>23482.59721460694</v>
      </c>
      <c r="M80" s="9">
        <v>211115.21665183303</v>
      </c>
    </row>
    <row r="81" spans="1:15" x14ac:dyDescent="0.25">
      <c r="A81" s="12" t="s">
        <v>77</v>
      </c>
      <c r="B81" s="12"/>
      <c r="C81" s="9">
        <f t="shared" ref="C81:M81" si="111">(C9/360)*C8</f>
        <v>2326.875</v>
      </c>
      <c r="D81" s="9">
        <f t="shared" si="111"/>
        <v>2756.1834374999999</v>
      </c>
      <c r="E81" s="9">
        <f t="shared" si="111"/>
        <v>3264.6992817187493</v>
      </c>
      <c r="F81" s="9">
        <f t="shared" si="111"/>
        <v>3867.0362991958577</v>
      </c>
      <c r="G81" s="9">
        <f t="shared" si="111"/>
        <v>5234.8622815971357</v>
      </c>
      <c r="H81" s="9">
        <f t="shared" si="111"/>
        <v>6975.7811691207808</v>
      </c>
      <c r="I81" s="9">
        <f t="shared" si="111"/>
        <v>9180.9031053595154</v>
      </c>
      <c r="J81" s="9">
        <f t="shared" si="111"/>
        <v>11962.257701128177</v>
      </c>
      <c r="K81" s="9">
        <f t="shared" si="111"/>
        <v>15457.411905803267</v>
      </c>
      <c r="L81" s="9">
        <f t="shared" si="111"/>
        <v>19835.079769292628</v>
      </c>
      <c r="M81" s="9">
        <f t="shared" si="111"/>
        <v>25301.932908783056</v>
      </c>
    </row>
    <row r="82" spans="1:15" x14ac:dyDescent="0.25">
      <c r="A82" s="12" t="s">
        <v>78</v>
      </c>
      <c r="B82" s="12"/>
      <c r="C82" s="29">
        <f t="shared" ref="C82:M82" si="112">C58/(C15+C21)</f>
        <v>225.22036842105263</v>
      </c>
      <c r="D82" s="29">
        <f t="shared" si="112"/>
        <v>304.12182008999997</v>
      </c>
      <c r="E82" s="29">
        <f t="shared" si="112"/>
        <v>413.70427731875725</v>
      </c>
      <c r="F82" s="29">
        <f t="shared" si="112"/>
        <v>567.76204392636839</v>
      </c>
      <c r="G82" s="29">
        <f t="shared" si="112"/>
        <v>835.83900385254492</v>
      </c>
      <c r="H82" s="29">
        <f t="shared" si="112"/>
        <v>1182.1535789647266</v>
      </c>
      <c r="I82" s="29">
        <f t="shared" si="112"/>
        <v>1654.5669949020773</v>
      </c>
      <c r="J82" s="29">
        <f t="shared" si="112"/>
        <v>2297.3719693132111</v>
      </c>
      <c r="K82" s="29">
        <f t="shared" si="112"/>
        <v>3043.6815633538658</v>
      </c>
      <c r="L82" s="29">
        <f t="shared" si="112"/>
        <v>4006.8100676504964</v>
      </c>
      <c r="M82" s="29">
        <f t="shared" si="112"/>
        <v>5246.6050759086174</v>
      </c>
    </row>
    <row r="83" spans="1:15" x14ac:dyDescent="0.25">
      <c r="A83" t="s">
        <v>79</v>
      </c>
      <c r="C83" s="9">
        <f>SUM(C79:C82)</f>
        <v>41940.125368421053</v>
      </c>
      <c r="D83" s="9">
        <f t="shared" ref="D83:E83" si="113">SUM(D79:D82)</f>
        <v>4060.3052575899997</v>
      </c>
      <c r="E83" s="9">
        <f t="shared" si="113"/>
        <v>4678.4035590375061</v>
      </c>
      <c r="F83" s="9">
        <f>SUM(F79:F82)</f>
        <v>5434.7983431222256</v>
      </c>
      <c r="G83" s="9">
        <f t="shared" ref="G83:L83" si="114">SUM(G79:G82)</f>
        <v>7070.7012854496807</v>
      </c>
      <c r="H83" s="9">
        <f t="shared" si="114"/>
        <v>9157.9347480855067</v>
      </c>
      <c r="I83" s="9">
        <f t="shared" si="114"/>
        <v>11835.470100261593</v>
      </c>
      <c r="J83" s="9">
        <f t="shared" si="114"/>
        <v>15259.629670441389</v>
      </c>
      <c r="K83" s="9">
        <f t="shared" si="114"/>
        <v>19501.093469157131</v>
      </c>
      <c r="L83" s="9">
        <f t="shared" si="114"/>
        <v>48324.487051550066</v>
      </c>
      <c r="M83" s="9">
        <f>SUM(M79:M82)</f>
        <v>242663.75463652471</v>
      </c>
    </row>
    <row r="85" spans="1:15" x14ac:dyDescent="0.25">
      <c r="A85" s="12" t="s">
        <v>208</v>
      </c>
      <c r="C85" s="9">
        <f>C42</f>
        <v>360000</v>
      </c>
      <c r="D85" s="9">
        <f>D42</f>
        <v>360000</v>
      </c>
      <c r="E85" s="9">
        <f t="shared" ref="E85:M85" si="115">E42</f>
        <v>360000</v>
      </c>
      <c r="F85" s="9">
        <f t="shared" si="115"/>
        <v>360000</v>
      </c>
      <c r="G85" s="9">
        <f t="shared" si="115"/>
        <v>360000</v>
      </c>
      <c r="H85" s="9">
        <f t="shared" si="115"/>
        <v>360000</v>
      </c>
      <c r="I85" s="9">
        <f t="shared" si="115"/>
        <v>360000</v>
      </c>
      <c r="J85" s="9">
        <f t="shared" si="115"/>
        <v>360000</v>
      </c>
      <c r="K85" s="9">
        <f t="shared" si="115"/>
        <v>360000</v>
      </c>
      <c r="L85" s="9">
        <f t="shared" si="115"/>
        <v>360000</v>
      </c>
      <c r="M85" s="9">
        <f t="shared" si="115"/>
        <v>360000</v>
      </c>
      <c r="N85" s="9"/>
      <c r="O85" s="9"/>
    </row>
    <row r="86" spans="1:15" x14ac:dyDescent="0.25">
      <c r="A86" s="12" t="s">
        <v>209</v>
      </c>
      <c r="B86" s="12"/>
      <c r="C86" s="9">
        <f>C43</f>
        <v>840000</v>
      </c>
      <c r="D86" s="9">
        <f t="shared" ref="D86:M86" si="116">D43</f>
        <v>840000</v>
      </c>
      <c r="E86" s="9">
        <f t="shared" si="116"/>
        <v>840000</v>
      </c>
      <c r="F86" s="9">
        <f t="shared" si="116"/>
        <v>840000</v>
      </c>
      <c r="G86" s="9">
        <f t="shared" si="116"/>
        <v>840000</v>
      </c>
      <c r="H86" s="9">
        <f t="shared" si="116"/>
        <v>840000</v>
      </c>
      <c r="I86" s="9">
        <f t="shared" si="116"/>
        <v>840000</v>
      </c>
      <c r="J86" s="9">
        <f t="shared" si="116"/>
        <v>840000</v>
      </c>
      <c r="K86" s="9">
        <f t="shared" si="116"/>
        <v>840000</v>
      </c>
      <c r="L86" s="9">
        <f t="shared" si="116"/>
        <v>840000</v>
      </c>
      <c r="M86" s="9">
        <f t="shared" si="116"/>
        <v>840000</v>
      </c>
    </row>
    <row r="87" spans="1:15" x14ac:dyDescent="0.25">
      <c r="A87" s="12" t="s">
        <v>80</v>
      </c>
      <c r="B87" s="12"/>
      <c r="C87" s="16">
        <f>C44</f>
        <v>28000</v>
      </c>
      <c r="D87" s="16">
        <f t="shared" ref="D87:M87" si="117">C87+D44</f>
        <v>56000</v>
      </c>
      <c r="E87" s="16">
        <f t="shared" si="117"/>
        <v>84000</v>
      </c>
      <c r="F87" s="16">
        <f t="shared" si="117"/>
        <v>112000</v>
      </c>
      <c r="G87" s="16">
        <f t="shared" si="117"/>
        <v>140000</v>
      </c>
      <c r="H87" s="16">
        <f t="shared" si="117"/>
        <v>168000</v>
      </c>
      <c r="I87" s="16">
        <f t="shared" si="117"/>
        <v>196000</v>
      </c>
      <c r="J87" s="16">
        <f t="shared" si="117"/>
        <v>224000</v>
      </c>
      <c r="K87" s="16">
        <f t="shared" si="117"/>
        <v>252000</v>
      </c>
      <c r="L87" s="16">
        <f t="shared" si="117"/>
        <v>280000</v>
      </c>
      <c r="M87" s="16">
        <f t="shared" si="117"/>
        <v>308000</v>
      </c>
    </row>
    <row r="88" spans="1:15" x14ac:dyDescent="0.25">
      <c r="A88" s="15" t="s">
        <v>81</v>
      </c>
      <c r="B88" s="15"/>
      <c r="C88" s="9">
        <f>C86-C87</f>
        <v>812000</v>
      </c>
      <c r="D88" s="9">
        <f>D86-D87</f>
        <v>784000</v>
      </c>
      <c r="E88" s="9">
        <f t="shared" ref="E88:F88" si="118">E86-E87</f>
        <v>756000</v>
      </c>
      <c r="F88" s="9">
        <f t="shared" si="118"/>
        <v>728000</v>
      </c>
      <c r="G88" s="9">
        <f t="shared" ref="G88:M88" si="119">G86-G87</f>
        <v>700000</v>
      </c>
      <c r="H88" s="9">
        <f t="shared" si="119"/>
        <v>672000</v>
      </c>
      <c r="I88" s="9">
        <f t="shared" si="119"/>
        <v>644000</v>
      </c>
      <c r="J88" s="9">
        <f t="shared" si="119"/>
        <v>616000</v>
      </c>
      <c r="K88" s="9">
        <f t="shared" si="119"/>
        <v>588000</v>
      </c>
      <c r="L88" s="9">
        <f t="shared" si="119"/>
        <v>560000</v>
      </c>
      <c r="M88" s="9">
        <f t="shared" si="119"/>
        <v>532000</v>
      </c>
    </row>
    <row r="90" spans="1:15" ht="16.5" thickBot="1" x14ac:dyDescent="0.3">
      <c r="A90" s="21" t="s">
        <v>82</v>
      </c>
      <c r="B90" s="21"/>
      <c r="C90" s="22">
        <f>C83+C88</f>
        <v>853940.12536842108</v>
      </c>
      <c r="D90" s="22">
        <f t="shared" ref="D90:F90" si="120">D83+D88</f>
        <v>788060.30525759002</v>
      </c>
      <c r="E90" s="22">
        <f t="shared" si="120"/>
        <v>760678.40355903748</v>
      </c>
      <c r="F90" s="22">
        <f t="shared" si="120"/>
        <v>733434.79834312224</v>
      </c>
      <c r="G90" s="22">
        <f t="shared" ref="G90:M90" si="121">G83+G88</f>
        <v>707070.70128544967</v>
      </c>
      <c r="H90" s="22">
        <f t="shared" si="121"/>
        <v>681157.93474808545</v>
      </c>
      <c r="I90" s="22">
        <f t="shared" si="121"/>
        <v>655835.47010026162</v>
      </c>
      <c r="J90" s="22">
        <f t="shared" si="121"/>
        <v>631259.62967044138</v>
      </c>
      <c r="K90" s="22">
        <f t="shared" si="121"/>
        <v>607501.09346915712</v>
      </c>
      <c r="L90" s="22">
        <f t="shared" si="121"/>
        <v>608324.48705155007</v>
      </c>
      <c r="M90" s="22">
        <f t="shared" si="121"/>
        <v>774663.75463652471</v>
      </c>
    </row>
    <row r="91" spans="1:15" ht="15.75" thickTop="1" x14ac:dyDescent="0.25"/>
    <row r="93" spans="1:15" x14ac:dyDescent="0.25">
      <c r="A93" s="7" t="s">
        <v>83</v>
      </c>
      <c r="B93" s="7"/>
    </row>
    <row r="94" spans="1:15" x14ac:dyDescent="0.25">
      <c r="A94" s="12" t="s">
        <v>84</v>
      </c>
      <c r="B94" s="12"/>
      <c r="C94" s="23">
        <f t="shared" ref="C94:M94" si="122">(C22/360)*C58</f>
        <v>356.59891666666664</v>
      </c>
      <c r="D94" s="23">
        <f t="shared" si="122"/>
        <v>443.51098763124998</v>
      </c>
      <c r="E94" s="23">
        <f t="shared" si="122"/>
        <v>551.60570309167633</v>
      </c>
      <c r="F94" s="23">
        <f t="shared" si="122"/>
        <v>686.04580307769504</v>
      </c>
      <c r="G94" s="23">
        <f t="shared" si="122"/>
        <v>975.1455044946357</v>
      </c>
      <c r="H94" s="23">
        <f t="shared" si="122"/>
        <v>1329.9227763353174</v>
      </c>
      <c r="I94" s="23">
        <f t="shared" si="122"/>
        <v>1792.4475778105837</v>
      </c>
      <c r="J94" s="23">
        <f t="shared" si="122"/>
        <v>2393.0958013679283</v>
      </c>
      <c r="K94" s="23">
        <f t="shared" si="122"/>
        <v>3170.50162849361</v>
      </c>
      <c r="L94" s="23">
        <f t="shared" si="122"/>
        <v>4173.7604871359335</v>
      </c>
      <c r="M94" s="23">
        <f t="shared" si="122"/>
        <v>5465.2136207381427</v>
      </c>
    </row>
    <row r="95" spans="1:15" x14ac:dyDescent="0.25">
      <c r="A95" s="12" t="s">
        <v>98</v>
      </c>
      <c r="B95" s="12"/>
      <c r="C95" s="23" t="str">
        <f t="shared" ref="C95:M95" si="123">C72</f>
        <v/>
      </c>
      <c r="D95" s="23" t="str">
        <f t="shared" si="123"/>
        <v/>
      </c>
      <c r="E95" s="23" t="str">
        <f t="shared" si="123"/>
        <v/>
      </c>
      <c r="F95" s="23" t="str">
        <f t="shared" si="123"/>
        <v/>
      </c>
      <c r="G95" s="23" t="str">
        <f t="shared" si="123"/>
        <v/>
      </c>
      <c r="H95" s="23" t="str">
        <f t="shared" si="123"/>
        <v/>
      </c>
      <c r="I95" s="23">
        <f t="shared" si="123"/>
        <v>1616.8992016893289</v>
      </c>
      <c r="J95" s="23">
        <f t="shared" si="123"/>
        <v>9339.2738820894392</v>
      </c>
      <c r="K95" s="23">
        <f t="shared" si="123"/>
        <v>18981.665324375208</v>
      </c>
      <c r="L95" s="23">
        <f t="shared" si="123"/>
        <v>30996.725315593172</v>
      </c>
      <c r="M95" s="23">
        <f t="shared" si="123"/>
        <v>45939.685492898221</v>
      </c>
    </row>
    <row r="96" spans="1:15" x14ac:dyDescent="0.25">
      <c r="A96" s="12" t="s">
        <v>87</v>
      </c>
      <c r="B96" s="12"/>
      <c r="C96" s="17"/>
      <c r="D96" s="17">
        <v>35076.476428336566</v>
      </c>
      <c r="E96" s="17">
        <v>99696.260315325897</v>
      </c>
      <c r="F96" s="17">
        <v>157042.5788056326</v>
      </c>
      <c r="G96" s="17">
        <v>198340.14874394218</v>
      </c>
      <c r="H96" s="17">
        <v>218727.74382519064</v>
      </c>
      <c r="I96" s="17">
        <v>212595.03336844698</v>
      </c>
      <c r="J96" s="17">
        <v>172973.20999597444</v>
      </c>
      <c r="K96" s="17">
        <v>97551.482887887716</v>
      </c>
      <c r="L96" s="17"/>
      <c r="M96" s="17"/>
    </row>
    <row r="97" spans="1:13" x14ac:dyDescent="0.25">
      <c r="A97" t="s">
        <v>85</v>
      </c>
      <c r="C97" s="9">
        <f>SUM(C94:C96)</f>
        <v>356.59891666666664</v>
      </c>
      <c r="D97" s="9">
        <f t="shared" ref="D97:F97" si="124">SUM(D94:D96)</f>
        <v>35519.987415967815</v>
      </c>
      <c r="E97" s="9">
        <f t="shared" si="124"/>
        <v>100247.86601841757</v>
      </c>
      <c r="F97" s="9">
        <f t="shared" si="124"/>
        <v>157728.62460871029</v>
      </c>
      <c r="G97" s="9">
        <f t="shared" ref="G97:M97" si="125">SUM(G94:G96)</f>
        <v>199315.29424843681</v>
      </c>
      <c r="H97" s="9">
        <f t="shared" si="125"/>
        <v>220057.66660152597</v>
      </c>
      <c r="I97" s="9">
        <f t="shared" si="125"/>
        <v>216004.38014794688</v>
      </c>
      <c r="J97" s="9">
        <f t="shared" si="125"/>
        <v>184705.5796794318</v>
      </c>
      <c r="K97" s="9">
        <f t="shared" si="125"/>
        <v>119703.64984075654</v>
      </c>
      <c r="L97" s="9">
        <f t="shared" si="125"/>
        <v>35170.485802729105</v>
      </c>
      <c r="M97" s="9">
        <f t="shared" si="125"/>
        <v>51404.899113636362</v>
      </c>
    </row>
    <row r="99" spans="1:13" x14ac:dyDescent="0.25">
      <c r="A99" s="12" t="s">
        <v>86</v>
      </c>
      <c r="B99" s="12"/>
      <c r="C99" s="9">
        <f t="shared" ref="C99:M99" si="126">C96*C46</f>
        <v>0</v>
      </c>
      <c r="D99" s="9">
        <f t="shared" si="126"/>
        <v>2663.3568552035954</v>
      </c>
      <c r="E99" s="9">
        <f t="shared" si="126"/>
        <v>7569.9370457426949</v>
      </c>
      <c r="F99" s="9">
        <f t="shared" si="126"/>
        <v>11924.243008711683</v>
      </c>
      <c r="G99" s="9">
        <f t="shared" si="126"/>
        <v>15059.96749412753</v>
      </c>
      <c r="H99" s="9">
        <f t="shared" si="126"/>
        <v>16607.997588646725</v>
      </c>
      <c r="I99" s="9">
        <f t="shared" si="126"/>
        <v>16142.340883666178</v>
      </c>
      <c r="J99" s="9">
        <f t="shared" si="126"/>
        <v>13133.855834994338</v>
      </c>
      <c r="K99" s="9">
        <f t="shared" si="126"/>
        <v>7407.0840956773136</v>
      </c>
      <c r="L99" s="9">
        <f t="shared" si="126"/>
        <v>0</v>
      </c>
      <c r="M99" s="9">
        <f t="shared" si="126"/>
        <v>0</v>
      </c>
    </row>
    <row r="100" spans="1:13" x14ac:dyDescent="0.25">
      <c r="A100" s="12" t="s">
        <v>88</v>
      </c>
      <c r="B100" s="12"/>
      <c r="C100" s="17">
        <f>Mortgage!F13</f>
        <v>1184972.0333767612</v>
      </c>
      <c r="D100" s="17">
        <f>Mortgage!F27</f>
        <v>1165734.8491413111</v>
      </c>
      <c r="E100" s="17">
        <f>Mortgage!F41</f>
        <v>1145107.0073020346</v>
      </c>
      <c r="F100" s="17">
        <f>Mortgage!F55</f>
        <v>1122987.9771083074</v>
      </c>
      <c r="G100" s="17">
        <f>Mortgage!F69</f>
        <v>1099269.9604334135</v>
      </c>
      <c r="H100" s="17">
        <f>Mortgage!F83</f>
        <v>1073837.3664153423</v>
      </c>
      <c r="I100" s="17">
        <f>Mortgage!F97</f>
        <v>1046566.248119321</v>
      </c>
      <c r="J100" s="17">
        <f>Mortgage!F111</f>
        <v>1017323.6984766404</v>
      </c>
      <c r="K100" s="17">
        <f>Mortgage!F125</f>
        <v>985967.20255584759</v>
      </c>
      <c r="L100" s="17">
        <f>Mortgage!F139</f>
        <v>952343.94300957257</v>
      </c>
      <c r="M100" s="17">
        <f>Mortgage!F153</f>
        <v>916290.05531204725</v>
      </c>
    </row>
    <row r="101" spans="1:13" x14ac:dyDescent="0.25">
      <c r="A101" s="15" t="s">
        <v>89</v>
      </c>
      <c r="B101" s="15"/>
      <c r="C101" s="9">
        <f>C97+C99+C100</f>
        <v>1185328.6322934278</v>
      </c>
      <c r="D101" s="9">
        <f t="shared" ref="D101:F101" si="127">D97+D99+D100</f>
        <v>1203918.1934124825</v>
      </c>
      <c r="E101" s="9">
        <f t="shared" si="127"/>
        <v>1252924.8103661949</v>
      </c>
      <c r="F101" s="9">
        <f t="shared" si="127"/>
        <v>1292640.8447257294</v>
      </c>
      <c r="G101" s="9">
        <f t="shared" ref="G101:M101" si="128">G97+G99+G100</f>
        <v>1313645.2221759779</v>
      </c>
      <c r="H101" s="9">
        <f t="shared" si="128"/>
        <v>1310503.030605515</v>
      </c>
      <c r="I101" s="9">
        <f t="shared" si="128"/>
        <v>1278712.9691509339</v>
      </c>
      <c r="J101" s="9">
        <f t="shared" si="128"/>
        <v>1215163.1339910666</v>
      </c>
      <c r="K101" s="9">
        <f t="shared" si="128"/>
        <v>1113077.9364922815</v>
      </c>
      <c r="L101" s="9">
        <f t="shared" si="128"/>
        <v>987514.42881230172</v>
      </c>
      <c r="M101" s="9">
        <f t="shared" si="128"/>
        <v>967694.95442568359</v>
      </c>
    </row>
    <row r="103" spans="1:13" x14ac:dyDescent="0.25">
      <c r="A103" t="s">
        <v>90</v>
      </c>
      <c r="C103" s="9">
        <f>C73</f>
        <v>-91388.505409842794</v>
      </c>
      <c r="D103" s="9">
        <f t="shared" ref="D103:M103" si="129">C103+D73</f>
        <v>-175857.88815489272</v>
      </c>
      <c r="E103" s="9">
        <f t="shared" si="129"/>
        <v>-252246.40680715744</v>
      </c>
      <c r="F103" s="9">
        <f t="shared" si="129"/>
        <v>-319206.04638260714</v>
      </c>
      <c r="G103" s="9">
        <f t="shared" si="129"/>
        <v>-366574.52089052822</v>
      </c>
      <c r="H103" s="9">
        <f t="shared" si="129"/>
        <v>-389345.09585742967</v>
      </c>
      <c r="I103" s="9">
        <f t="shared" si="129"/>
        <v>-382877.49905067234</v>
      </c>
      <c r="J103" s="9">
        <f t="shared" si="129"/>
        <v>-345520.40352231456</v>
      </c>
      <c r="K103" s="9">
        <f t="shared" si="129"/>
        <v>-269593.74222481373</v>
      </c>
      <c r="L103" s="9">
        <f t="shared" si="129"/>
        <v>-145606.84096244106</v>
      </c>
      <c r="M103" s="9">
        <f t="shared" si="129"/>
        <v>38151.901009151828</v>
      </c>
    </row>
    <row r="104" spans="1:13" x14ac:dyDescent="0.25">
      <c r="A104" t="s">
        <v>92</v>
      </c>
      <c r="C104" s="16">
        <f t="shared" ref="C104:M104" si="130">C47</f>
        <v>120000</v>
      </c>
      <c r="D104" s="16">
        <f t="shared" si="130"/>
        <v>120000</v>
      </c>
      <c r="E104" s="16">
        <f t="shared" si="130"/>
        <v>120000</v>
      </c>
      <c r="F104" s="16">
        <f t="shared" si="130"/>
        <v>120000</v>
      </c>
      <c r="G104" s="16">
        <f t="shared" si="130"/>
        <v>120000</v>
      </c>
      <c r="H104" s="16">
        <f t="shared" si="130"/>
        <v>120000</v>
      </c>
      <c r="I104" s="16">
        <f t="shared" si="130"/>
        <v>120000</v>
      </c>
      <c r="J104" s="16">
        <f t="shared" si="130"/>
        <v>120000</v>
      </c>
      <c r="K104" s="16">
        <f t="shared" si="130"/>
        <v>120000</v>
      </c>
      <c r="L104" s="16">
        <f t="shared" si="130"/>
        <v>120000</v>
      </c>
      <c r="M104" s="16">
        <f t="shared" si="130"/>
        <v>120000</v>
      </c>
    </row>
    <row r="106" spans="1:13" ht="16.5" thickBot="1" x14ac:dyDescent="0.3">
      <c r="A106" s="21" t="s">
        <v>91</v>
      </c>
      <c r="B106" s="21"/>
      <c r="C106" s="22">
        <f>C101+C103+C104</f>
        <v>1213940.126883585</v>
      </c>
      <c r="D106" s="22">
        <f t="shared" ref="D106:F106" si="131">D101+D103+D104</f>
        <v>1148060.3052575898</v>
      </c>
      <c r="E106" s="22">
        <f t="shared" si="131"/>
        <v>1120678.4035590375</v>
      </c>
      <c r="F106" s="22">
        <f t="shared" si="131"/>
        <v>1093434.7983431222</v>
      </c>
      <c r="G106" s="22">
        <f t="shared" ref="G106:M106" si="132">G101+G103+G104</f>
        <v>1067070.7012854498</v>
      </c>
      <c r="H106" s="22">
        <f t="shared" si="132"/>
        <v>1041157.9347480853</v>
      </c>
      <c r="I106" s="22">
        <f t="shared" si="132"/>
        <v>1015835.4701002615</v>
      </c>
      <c r="J106" s="22">
        <f t="shared" si="132"/>
        <v>989642.7304687521</v>
      </c>
      <c r="K106" s="22">
        <f t="shared" si="132"/>
        <v>963484.19426746783</v>
      </c>
      <c r="L106" s="22">
        <f t="shared" si="132"/>
        <v>961907.58784986066</v>
      </c>
      <c r="M106" s="22">
        <f t="shared" si="132"/>
        <v>1125846.8554348354</v>
      </c>
    </row>
    <row r="107" spans="1:13" ht="15.75" thickTop="1" x14ac:dyDescent="0.2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ht="15.75" x14ac:dyDescent="0.25">
      <c r="A108" s="21" t="s">
        <v>93</v>
      </c>
      <c r="B108" s="21"/>
    </row>
    <row r="109" spans="1:13" x14ac:dyDescent="0.25">
      <c r="A109" s="10" t="s">
        <v>94</v>
      </c>
      <c r="B109" s="10"/>
      <c r="C109" s="24">
        <f>C83/C97</f>
        <v>117.61147723178554</v>
      </c>
      <c r="D109" s="24">
        <f t="shared" ref="D109:F109" si="133">D83/D97</f>
        <v>0.11431043626340677</v>
      </c>
      <c r="E109" s="24">
        <f t="shared" si="133"/>
        <v>4.6668360583136885E-2</v>
      </c>
      <c r="F109" s="24">
        <f t="shared" si="133"/>
        <v>3.4456639412185033E-2</v>
      </c>
      <c r="G109" s="24">
        <f t="shared" ref="G109:M109" si="134">G83/G97</f>
        <v>3.5474955959156833E-2</v>
      </c>
      <c r="H109" s="24">
        <f t="shared" si="134"/>
        <v>4.1616067685878125E-2</v>
      </c>
      <c r="I109" s="24">
        <f t="shared" si="134"/>
        <v>5.4792731944394733E-2</v>
      </c>
      <c r="J109" s="24">
        <f t="shared" si="134"/>
        <v>8.2615964806940001E-2</v>
      </c>
      <c r="K109" s="24">
        <f t="shared" si="134"/>
        <v>0.16291143582588929</v>
      </c>
      <c r="L109" s="24">
        <f t="shared" si="134"/>
        <v>1.3740068113531789</v>
      </c>
      <c r="M109" s="24">
        <f t="shared" si="134"/>
        <v>4.7206347803560309</v>
      </c>
    </row>
    <row r="110" spans="1:13" x14ac:dyDescent="0.25">
      <c r="A110" s="12" t="s">
        <v>95</v>
      </c>
      <c r="B110" s="12"/>
      <c r="C110" s="25">
        <f>C101/(C104+C103)</f>
        <v>41.428406634206347</v>
      </c>
      <c r="D110" s="25">
        <f t="shared" ref="D110:F110" si="135">D101/(D104+D103)</f>
        <v>-21.553235060982676</v>
      </c>
      <c r="E110" s="25">
        <f t="shared" si="135"/>
        <v>-9.4741690199055313</v>
      </c>
      <c r="F110" s="25">
        <f t="shared" si="135"/>
        <v>-6.4889639054579975</v>
      </c>
      <c r="G110" s="25">
        <f t="shared" ref="G110:M110" si="136">G101/(G104+G103)</f>
        <v>-5.3275789300192837</v>
      </c>
      <c r="H110" s="25">
        <f t="shared" si="136"/>
        <v>-4.8655165835994776</v>
      </c>
      <c r="I110" s="25">
        <f>I101/(I104+I103)</f>
        <v>-4.8642922036642204</v>
      </c>
      <c r="J110" s="25">
        <f t="shared" si="136"/>
        <v>-5.3882625031345777</v>
      </c>
      <c r="K110" s="25">
        <f t="shared" si="136"/>
        <v>-7.4406717817080628</v>
      </c>
      <c r="L110" s="25">
        <f t="shared" si="136"/>
        <v>-38.564476979442439</v>
      </c>
      <c r="M110" s="25">
        <f t="shared" si="136"/>
        <v>6.1187690331315441</v>
      </c>
    </row>
    <row r="111" spans="1:13" x14ac:dyDescent="0.25">
      <c r="A111" s="12" t="s">
        <v>96</v>
      </c>
      <c r="B111" s="12"/>
      <c r="C111" s="26">
        <f t="shared" ref="C111:M111" si="137">C73/C90</f>
        <v>-0.10701980466184845</v>
      </c>
      <c r="D111" s="26">
        <f t="shared" si="137"/>
        <v>-0.10718644522698016</v>
      </c>
      <c r="E111" s="26">
        <f t="shared" si="137"/>
        <v>-0.10042156881917588</v>
      </c>
      <c r="F111" s="26">
        <f t="shared" si="137"/>
        <v>-9.1295967585279497E-2</v>
      </c>
      <c r="G111" s="26">
        <f t="shared" si="137"/>
        <v>-6.6992557352193338E-2</v>
      </c>
      <c r="H111" s="26">
        <f t="shared" si="137"/>
        <v>-3.3429214878518271E-2</v>
      </c>
      <c r="I111" s="26">
        <f t="shared" si="137"/>
        <v>9.8616148433822489E-3</v>
      </c>
      <c r="J111" s="26">
        <f t="shared" si="137"/>
        <v>5.9178654506800307E-2</v>
      </c>
      <c r="K111" s="26">
        <f t="shared" si="137"/>
        <v>0.12498193355326961</v>
      </c>
      <c r="L111" s="26">
        <f t="shared" si="137"/>
        <v>0.20381704814040455</v>
      </c>
      <c r="M111" s="26">
        <f t="shared" si="137"/>
        <v>0.23721097169159955</v>
      </c>
    </row>
    <row r="112" spans="1:13" x14ac:dyDescent="0.25">
      <c r="A112" s="12" t="s">
        <v>97</v>
      </c>
      <c r="B112" s="12"/>
      <c r="C112" s="26">
        <f t="shared" ref="C112:M112" si="138">C73/(C103+C104)</f>
        <v>-3.1941185428768843</v>
      </c>
      <c r="D112" s="26">
        <f t="shared" si="138"/>
        <v>1.5122194113536509</v>
      </c>
      <c r="E112" s="26">
        <f t="shared" si="138"/>
        <v>0.57762264016484743</v>
      </c>
      <c r="F112" s="26">
        <f t="shared" si="138"/>
        <v>0.3361325662115846</v>
      </c>
      <c r="G112" s="26">
        <f t="shared" si="138"/>
        <v>0.19210612003561897</v>
      </c>
      <c r="H112" s="26">
        <f t="shared" si="138"/>
        <v>8.4540521869959889E-2</v>
      </c>
      <c r="I112" s="26">
        <f t="shared" si="138"/>
        <v>-2.460308253887724E-2</v>
      </c>
      <c r="J112" s="26">
        <f t="shared" si="138"/>
        <v>-0.16564840672902301</v>
      </c>
      <c r="K112" s="26">
        <f t="shared" si="138"/>
        <v>-0.50755238934658164</v>
      </c>
      <c r="L112" s="26">
        <f t="shared" si="138"/>
        <v>-4.8419444414963566</v>
      </c>
      <c r="M112" s="26">
        <f t="shared" si="138"/>
        <v>1.1619129507710391</v>
      </c>
    </row>
    <row r="114" spans="1:8" x14ac:dyDescent="0.25">
      <c r="A114" t="s">
        <v>131</v>
      </c>
    </row>
    <row r="116" spans="1:8" x14ac:dyDescent="0.25">
      <c r="A116" t="s">
        <v>132</v>
      </c>
    </row>
    <row r="117" spans="1:8" x14ac:dyDescent="0.25">
      <c r="C117" s="30"/>
      <c r="D117" s="30"/>
      <c r="E117" s="30"/>
      <c r="F117" s="30"/>
      <c r="G117" s="30"/>
      <c r="H117" s="30"/>
    </row>
    <row r="118" spans="1:8" x14ac:dyDescent="0.25">
      <c r="B118" t="s">
        <v>133</v>
      </c>
      <c r="C118" s="30"/>
      <c r="D118" s="44">
        <v>2.1299999999999999E-2</v>
      </c>
      <c r="E118" s="30"/>
      <c r="F118" s="30" t="s">
        <v>149</v>
      </c>
      <c r="G118" s="30"/>
      <c r="H118" s="30"/>
    </row>
    <row r="119" spans="1:8" x14ac:dyDescent="0.25">
      <c r="B119" t="s">
        <v>134</v>
      </c>
      <c r="C119" s="30"/>
      <c r="D119" s="44">
        <v>0.08</v>
      </c>
      <c r="E119" s="30"/>
      <c r="F119" s="30" t="s">
        <v>150</v>
      </c>
      <c r="G119" s="30"/>
      <c r="H119" s="30"/>
    </row>
    <row r="120" spans="1:8" x14ac:dyDescent="0.25">
      <c r="B120" t="s">
        <v>135</v>
      </c>
      <c r="C120" s="30"/>
      <c r="D120" s="44">
        <f>D119-D118</f>
        <v>5.8700000000000002E-2</v>
      </c>
      <c r="E120" s="30"/>
      <c r="F120" s="30"/>
      <c r="G120" s="30"/>
      <c r="H120" s="30"/>
    </row>
    <row r="121" spans="1:8" x14ac:dyDescent="0.25">
      <c r="C121" s="30"/>
      <c r="D121" s="30"/>
      <c r="E121" s="30"/>
      <c r="F121" s="30"/>
      <c r="G121" s="30"/>
      <c r="H121" s="30"/>
    </row>
    <row r="122" spans="1:8" x14ac:dyDescent="0.25">
      <c r="B122" t="s">
        <v>136</v>
      </c>
      <c r="C122" s="30"/>
      <c r="D122" s="51">
        <f>D118+D139*D120</f>
        <v>0.62969046494014469</v>
      </c>
      <c r="E122" s="30"/>
      <c r="F122" s="30"/>
      <c r="G122" s="30"/>
      <c r="H122" s="30"/>
    </row>
    <row r="123" spans="1:8" x14ac:dyDescent="0.25">
      <c r="C123" s="30"/>
      <c r="D123" s="30"/>
      <c r="E123" s="30"/>
      <c r="F123" s="30"/>
      <c r="G123" s="30"/>
      <c r="H123" s="30"/>
    </row>
    <row r="124" spans="1:8" x14ac:dyDescent="0.25">
      <c r="A124" t="s">
        <v>137</v>
      </c>
      <c r="C124" s="30"/>
      <c r="D124" s="30"/>
      <c r="E124" s="30"/>
      <c r="F124" s="30"/>
      <c r="G124" s="30"/>
      <c r="H124" s="30"/>
    </row>
    <row r="125" spans="1:8" x14ac:dyDescent="0.25">
      <c r="C125" s="30"/>
      <c r="D125" s="30"/>
      <c r="E125" s="30"/>
      <c r="F125" s="45" t="s">
        <v>138</v>
      </c>
      <c r="G125" s="45" t="s">
        <v>139</v>
      </c>
      <c r="H125" s="30"/>
    </row>
    <row r="126" spans="1:8" x14ac:dyDescent="0.25">
      <c r="B126" t="s">
        <v>140</v>
      </c>
      <c r="C126" s="30"/>
      <c r="D126" s="46">
        <f>F100</f>
        <v>1122987.9771083074</v>
      </c>
      <c r="E126" s="30"/>
      <c r="F126" s="44">
        <f>D126/D128</f>
        <v>1</v>
      </c>
      <c r="G126" s="47">
        <f>F46</f>
        <v>7.5929999999999997E-2</v>
      </c>
      <c r="H126" s="30"/>
    </row>
    <row r="127" spans="1:8" x14ac:dyDescent="0.25">
      <c r="C127" s="30"/>
      <c r="D127" s="30"/>
      <c r="E127" s="30"/>
      <c r="F127" s="30"/>
      <c r="G127" s="30"/>
      <c r="H127" s="30"/>
    </row>
    <row r="128" spans="1:8" x14ac:dyDescent="0.25">
      <c r="B128" t="s">
        <v>185</v>
      </c>
      <c r="C128" s="30"/>
      <c r="D128" s="46">
        <f>+SUM(D126)</f>
        <v>1122987.9771083074</v>
      </c>
      <c r="E128" s="30"/>
      <c r="F128" s="30"/>
      <c r="G128" s="30"/>
      <c r="H128" s="30"/>
    </row>
    <row r="129" spans="1:8" x14ac:dyDescent="0.25">
      <c r="C129" s="30"/>
      <c r="D129" s="30"/>
      <c r="E129" s="30"/>
      <c r="F129" s="30"/>
      <c r="G129" s="30"/>
      <c r="H129" s="30"/>
    </row>
    <row r="130" spans="1:8" x14ac:dyDescent="0.25">
      <c r="B130" t="s">
        <v>141</v>
      </c>
      <c r="C130" s="30"/>
      <c r="D130" s="49">
        <f>F126*G126</f>
        <v>7.5929999999999997E-2</v>
      </c>
      <c r="E130" s="30"/>
      <c r="F130" s="30"/>
      <c r="G130" s="30"/>
      <c r="H130" s="30"/>
    </row>
    <row r="131" spans="1:8" x14ac:dyDescent="0.25">
      <c r="C131" s="30"/>
      <c r="D131" s="30"/>
      <c r="E131" s="30"/>
      <c r="F131" s="30"/>
      <c r="G131" s="30"/>
      <c r="H131" s="30"/>
    </row>
    <row r="132" spans="1:8" x14ac:dyDescent="0.25">
      <c r="A132" t="s">
        <v>142</v>
      </c>
      <c r="C132" s="30"/>
      <c r="D132" s="47">
        <f>C49</f>
        <v>0.2</v>
      </c>
      <c r="E132" s="30"/>
      <c r="F132" s="30"/>
      <c r="G132" s="30"/>
      <c r="H132" s="30"/>
    </row>
    <row r="133" spans="1:8" x14ac:dyDescent="0.25">
      <c r="C133" s="30"/>
      <c r="D133" s="30"/>
      <c r="E133" s="30"/>
      <c r="F133" s="30"/>
      <c r="G133" s="30"/>
      <c r="H133" s="30"/>
    </row>
    <row r="134" spans="1:8" x14ac:dyDescent="0.25">
      <c r="A134" t="s">
        <v>143</v>
      </c>
      <c r="C134" s="30"/>
      <c r="D134" s="30"/>
      <c r="E134" s="30"/>
      <c r="F134" s="45" t="s">
        <v>138</v>
      </c>
      <c r="G134" s="30"/>
      <c r="H134" s="45" t="s">
        <v>139</v>
      </c>
    </row>
    <row r="135" spans="1:8" x14ac:dyDescent="0.25">
      <c r="C135" s="30" t="s">
        <v>144</v>
      </c>
      <c r="D135" s="48">
        <f>D128</f>
        <v>1122987.9771083074</v>
      </c>
      <c r="E135" s="30"/>
      <c r="F135" s="44">
        <f>D135/D137</f>
        <v>0.90345843868967379</v>
      </c>
      <c r="G135" s="30"/>
      <c r="H135" s="30">
        <f>D130</f>
        <v>7.5929999999999997E-2</v>
      </c>
    </row>
    <row r="136" spans="1:8" x14ac:dyDescent="0.25">
      <c r="C136" s="30" t="s">
        <v>58</v>
      </c>
      <c r="D136" s="48">
        <f>C104</f>
        <v>120000</v>
      </c>
      <c r="E136" s="30"/>
      <c r="F136" s="44">
        <f>D136/D137</f>
        <v>9.6541561310326207E-2</v>
      </c>
      <c r="G136" s="30"/>
      <c r="H136" s="30">
        <f>D122</f>
        <v>0.62969046494014469</v>
      </c>
    </row>
    <row r="137" spans="1:8" ht="15.75" thickBot="1" x14ac:dyDescent="0.3">
      <c r="C137" s="50" t="s">
        <v>186</v>
      </c>
      <c r="D137" s="50">
        <f>SUM(D135:D136)</f>
        <v>1242987.9771083074</v>
      </c>
      <c r="E137" s="30"/>
      <c r="F137" s="30"/>
      <c r="G137" s="30"/>
      <c r="H137" s="30"/>
    </row>
    <row r="138" spans="1:8" ht="15.75" thickTop="1" x14ac:dyDescent="0.25">
      <c r="C138" s="30"/>
      <c r="D138" s="30"/>
      <c r="E138" s="30"/>
      <c r="F138" s="30"/>
      <c r="G138" s="30"/>
      <c r="H138" s="30"/>
    </row>
    <row r="139" spans="1:8" x14ac:dyDescent="0.25">
      <c r="B139" t="s">
        <v>145</v>
      </c>
      <c r="C139" s="30"/>
      <c r="D139" s="58">
        <f>Beta!B2</f>
        <v>10.364403150598717</v>
      </c>
      <c r="E139" s="30"/>
      <c r="F139" s="30" t="s">
        <v>151</v>
      </c>
      <c r="G139" s="30"/>
      <c r="H139" s="30"/>
    </row>
    <row r="140" spans="1:8" x14ac:dyDescent="0.25">
      <c r="B140" t="s">
        <v>146</v>
      </c>
      <c r="C140" s="30"/>
      <c r="D140" s="44">
        <f>F135</f>
        <v>0.90345843868967379</v>
      </c>
      <c r="E140" s="30"/>
      <c r="F140" s="30"/>
      <c r="G140" s="30"/>
      <c r="H140" s="30"/>
    </row>
    <row r="141" spans="1:8" x14ac:dyDescent="0.25">
      <c r="B141" t="s">
        <v>147</v>
      </c>
      <c r="C141" s="30"/>
      <c r="D141" s="44">
        <f>F136</f>
        <v>9.6541561310326207E-2</v>
      </c>
      <c r="E141" s="30"/>
      <c r="F141" s="30"/>
      <c r="G141" s="45" t="s">
        <v>155</v>
      </c>
      <c r="H141" s="45" t="s">
        <v>156</v>
      </c>
    </row>
    <row r="142" spans="1:8" ht="15.75" thickBot="1" x14ac:dyDescent="0.3">
      <c r="G142" t="s">
        <v>152</v>
      </c>
      <c r="H142">
        <v>1.3</v>
      </c>
    </row>
    <row r="143" spans="1:8" x14ac:dyDescent="0.25">
      <c r="A143" s="31" t="s">
        <v>148</v>
      </c>
      <c r="B143" s="36"/>
      <c r="G143" t="s">
        <v>153</v>
      </c>
      <c r="H143">
        <v>1.91</v>
      </c>
    </row>
    <row r="144" spans="1:8" ht="15.75" thickBot="1" x14ac:dyDescent="0.3">
      <c r="A144" s="32">
        <f>D140*H135*(1-D132)+D141*H136</f>
        <v>0.11567098002731234</v>
      </c>
      <c r="B144" s="37"/>
      <c r="G144" t="s">
        <v>154</v>
      </c>
      <c r="H144">
        <v>1.26</v>
      </c>
    </row>
    <row r="146" spans="1:15" ht="15.75" x14ac:dyDescent="0.25">
      <c r="C146" s="20">
        <v>2012</v>
      </c>
      <c r="D146" s="20">
        <v>2013</v>
      </c>
      <c r="E146" s="20">
        <v>2014</v>
      </c>
      <c r="F146" s="20">
        <v>2015</v>
      </c>
      <c r="G146" s="20">
        <v>2016</v>
      </c>
      <c r="H146" s="20">
        <v>2017</v>
      </c>
      <c r="I146" s="20">
        <v>2018</v>
      </c>
      <c r="J146" s="20">
        <v>2019</v>
      </c>
      <c r="K146" s="20">
        <v>2020</v>
      </c>
      <c r="L146" s="20">
        <v>2021</v>
      </c>
      <c r="M146" s="20">
        <v>2022</v>
      </c>
    </row>
    <row r="147" spans="1:15" x14ac:dyDescent="0.25">
      <c r="A147" s="7" t="s">
        <v>159</v>
      </c>
      <c r="B147" s="7"/>
    </row>
    <row r="148" spans="1:15" x14ac:dyDescent="0.25">
      <c r="A148" s="12" t="s">
        <v>160</v>
      </c>
      <c r="B148" s="12"/>
      <c r="C148" s="9">
        <f t="shared" ref="C148:M148" si="139">C59</f>
        <v>60067.32</v>
      </c>
      <c r="D148" s="9">
        <f t="shared" si="139"/>
        <v>71399.807442000005</v>
      </c>
      <c r="E148" s="9">
        <f t="shared" si="139"/>
        <v>84884.086372738937</v>
      </c>
      <c r="F148" s="9">
        <f t="shared" si="139"/>
        <v>100932.01676489969</v>
      </c>
      <c r="G148" s="9">
        <f t="shared" si="139"/>
        <v>137182.93389171184</v>
      </c>
      <c r="H148" s="9">
        <f t="shared" si="139"/>
        <v>183170.59868410046</v>
      </c>
      <c r="I148" s="9">
        <f t="shared" si="139"/>
        <v>241578.31737649004</v>
      </c>
      <c r="J148" s="9">
        <f t="shared" si="139"/>
        <v>315455.98338401312</v>
      </c>
      <c r="K148" s="9">
        <f t="shared" si="139"/>
        <v>408564.72710307234</v>
      </c>
      <c r="L148" s="9">
        <f t="shared" si="139"/>
        <v>525537.81904399383</v>
      </c>
      <c r="M148" s="9">
        <f t="shared" si="139"/>
        <v>672077.33354950766</v>
      </c>
    </row>
    <row r="149" spans="1:15" x14ac:dyDescent="0.25">
      <c r="A149" s="12" t="s">
        <v>161</v>
      </c>
      <c r="B149" s="12"/>
      <c r="C149" s="9">
        <f t="shared" ref="C149:M149" si="140">C44</f>
        <v>28000</v>
      </c>
      <c r="D149" s="9">
        <f t="shared" si="140"/>
        <v>28000</v>
      </c>
      <c r="E149" s="9">
        <f t="shared" si="140"/>
        <v>28000</v>
      </c>
      <c r="F149" s="9">
        <f t="shared" si="140"/>
        <v>28000</v>
      </c>
      <c r="G149" s="9">
        <f t="shared" si="140"/>
        <v>28000</v>
      </c>
      <c r="H149" s="9">
        <f t="shared" si="140"/>
        <v>28000</v>
      </c>
      <c r="I149" s="9">
        <f t="shared" si="140"/>
        <v>28000</v>
      </c>
      <c r="J149" s="9">
        <f t="shared" si="140"/>
        <v>28000</v>
      </c>
      <c r="K149" s="9">
        <f t="shared" si="140"/>
        <v>28000</v>
      </c>
      <c r="L149" s="9">
        <f t="shared" si="140"/>
        <v>28000</v>
      </c>
      <c r="M149" s="9">
        <f t="shared" si="140"/>
        <v>28000</v>
      </c>
    </row>
    <row r="150" spans="1:15" x14ac:dyDescent="0.25">
      <c r="A150" s="12" t="s">
        <v>162</v>
      </c>
      <c r="B150" s="12"/>
      <c r="C150" s="9">
        <f>C148-C149</f>
        <v>32067.32</v>
      </c>
      <c r="D150" s="9">
        <f t="shared" ref="D150:M150" si="141">D148-D149</f>
        <v>43399.807442000005</v>
      </c>
      <c r="E150" s="9">
        <f t="shared" si="141"/>
        <v>56884.086372738937</v>
      </c>
      <c r="F150" s="9">
        <f t="shared" si="141"/>
        <v>72932.016764899687</v>
      </c>
      <c r="G150" s="9">
        <f t="shared" si="141"/>
        <v>109182.93389171184</v>
      </c>
      <c r="H150" s="9">
        <f t="shared" si="141"/>
        <v>155170.59868410046</v>
      </c>
      <c r="I150" s="9">
        <f t="shared" si="141"/>
        <v>213578.31737649004</v>
      </c>
      <c r="J150" s="9">
        <f t="shared" si="141"/>
        <v>287455.98338401312</v>
      </c>
      <c r="K150" s="9">
        <f t="shared" si="141"/>
        <v>380564.72710307234</v>
      </c>
      <c r="L150" s="9">
        <f t="shared" si="141"/>
        <v>497537.81904399383</v>
      </c>
      <c r="M150" s="9">
        <f t="shared" si="141"/>
        <v>644077.33354950766</v>
      </c>
    </row>
    <row r="151" spans="1:15" x14ac:dyDescent="0.25">
      <c r="A151" s="12" t="s">
        <v>163</v>
      </c>
      <c r="B151" s="12"/>
      <c r="C151" s="9">
        <f t="shared" ref="C151:M151" si="142">C150*C49</f>
        <v>6413.4639999999999</v>
      </c>
      <c r="D151" s="9">
        <f t="shared" si="142"/>
        <v>8679.9614884000021</v>
      </c>
      <c r="E151" s="9">
        <f t="shared" si="142"/>
        <v>11376.817274547788</v>
      </c>
      <c r="F151" s="9">
        <f t="shared" si="142"/>
        <v>14586.403352979938</v>
      </c>
      <c r="G151" s="9">
        <f t="shared" si="142"/>
        <v>21836.586778342371</v>
      </c>
      <c r="H151" s="9">
        <f t="shared" si="142"/>
        <v>31034.119736820096</v>
      </c>
      <c r="I151" s="9">
        <f t="shared" si="142"/>
        <v>42715.66347529801</v>
      </c>
      <c r="J151" s="9">
        <f t="shared" si="142"/>
        <v>57491.196676802625</v>
      </c>
      <c r="K151" s="9">
        <f t="shared" si="142"/>
        <v>76112.945420614473</v>
      </c>
      <c r="L151" s="9">
        <f t="shared" si="142"/>
        <v>99507.563808798775</v>
      </c>
      <c r="M151" s="9">
        <f t="shared" si="142"/>
        <v>128815.46670990154</v>
      </c>
    </row>
    <row r="152" spans="1:15" x14ac:dyDescent="0.25">
      <c r="A152" s="12" t="s">
        <v>164</v>
      </c>
      <c r="B152" s="12"/>
      <c r="C152" s="9">
        <f>C150-C151</f>
        <v>25653.856</v>
      </c>
      <c r="D152" s="9">
        <f t="shared" ref="D152:M152" si="143">D150-D151</f>
        <v>34719.845953600001</v>
      </c>
      <c r="E152" s="9">
        <f t="shared" si="143"/>
        <v>45507.269098191151</v>
      </c>
      <c r="F152" s="9">
        <f t="shared" si="143"/>
        <v>58345.613411919752</v>
      </c>
      <c r="G152" s="9">
        <f t="shared" si="143"/>
        <v>87346.347113369469</v>
      </c>
      <c r="H152" s="9">
        <f t="shared" si="143"/>
        <v>124136.47894728037</v>
      </c>
      <c r="I152" s="9">
        <f t="shared" si="143"/>
        <v>170862.65390119204</v>
      </c>
      <c r="J152" s="9">
        <f t="shared" si="143"/>
        <v>229964.7867072105</v>
      </c>
      <c r="K152" s="9">
        <f t="shared" si="143"/>
        <v>304451.78168245789</v>
      </c>
      <c r="L152" s="9">
        <f t="shared" si="143"/>
        <v>398030.25523519504</v>
      </c>
      <c r="M152" s="9">
        <f t="shared" si="143"/>
        <v>515261.86683960614</v>
      </c>
    </row>
    <row r="153" spans="1:15" x14ac:dyDescent="0.25">
      <c r="A153" s="12" t="s">
        <v>165</v>
      </c>
      <c r="B153" s="12"/>
      <c r="C153" s="9">
        <f>C149</f>
        <v>28000</v>
      </c>
      <c r="D153" s="9">
        <f t="shared" ref="D153:M153" si="144">D149</f>
        <v>28000</v>
      </c>
      <c r="E153" s="9">
        <f t="shared" si="144"/>
        <v>28000</v>
      </c>
      <c r="F153" s="9">
        <f t="shared" si="144"/>
        <v>28000</v>
      </c>
      <c r="G153" s="9">
        <f t="shared" si="144"/>
        <v>28000</v>
      </c>
      <c r="H153" s="9">
        <f t="shared" si="144"/>
        <v>28000</v>
      </c>
      <c r="I153" s="9">
        <f t="shared" si="144"/>
        <v>28000</v>
      </c>
      <c r="J153" s="9">
        <f t="shared" si="144"/>
        <v>28000</v>
      </c>
      <c r="K153" s="9">
        <f t="shared" si="144"/>
        <v>28000</v>
      </c>
      <c r="L153" s="9">
        <f t="shared" si="144"/>
        <v>28000</v>
      </c>
      <c r="M153" s="9">
        <f t="shared" si="144"/>
        <v>28000</v>
      </c>
    </row>
    <row r="154" spans="1:15" x14ac:dyDescent="0.25">
      <c r="A154" s="7" t="s">
        <v>166</v>
      </c>
      <c r="B154" s="7"/>
      <c r="C154" s="9">
        <f>C152+C153</f>
        <v>53653.856</v>
      </c>
      <c r="D154" s="9">
        <f t="shared" ref="D154:M154" si="145">D152+D153</f>
        <v>62719.845953600001</v>
      </c>
      <c r="E154" s="9">
        <f t="shared" si="145"/>
        <v>73507.269098191144</v>
      </c>
      <c r="F154" s="9">
        <f t="shared" si="145"/>
        <v>86345.613411919752</v>
      </c>
      <c r="G154" s="9">
        <f t="shared" si="145"/>
        <v>115346.34711336947</v>
      </c>
      <c r="H154" s="9">
        <f t="shared" si="145"/>
        <v>152136.47894728038</v>
      </c>
      <c r="I154" s="9">
        <f t="shared" si="145"/>
        <v>198862.65390119204</v>
      </c>
      <c r="J154" s="9">
        <f t="shared" si="145"/>
        <v>257964.7867072105</v>
      </c>
      <c r="K154" s="9">
        <f t="shared" si="145"/>
        <v>332451.78168245789</v>
      </c>
      <c r="L154" s="9">
        <f t="shared" si="145"/>
        <v>426030.25523519504</v>
      </c>
      <c r="M154" s="9">
        <f t="shared" si="145"/>
        <v>543261.86683960608</v>
      </c>
    </row>
    <row r="156" spans="1:15" x14ac:dyDescent="0.25">
      <c r="A156" s="15" t="s">
        <v>167</v>
      </c>
      <c r="B156" s="15"/>
    </row>
    <row r="157" spans="1:15" x14ac:dyDescent="0.25">
      <c r="A157" s="12" t="s">
        <v>168</v>
      </c>
      <c r="B157" s="38">
        <f>-C43</f>
        <v>-840000</v>
      </c>
      <c r="O157" t="s">
        <v>171</v>
      </c>
    </row>
    <row r="158" spans="1:15" x14ac:dyDescent="0.25">
      <c r="A158" s="12" t="s">
        <v>169</v>
      </c>
      <c r="D158" s="13"/>
      <c r="M158" s="9">
        <f>O158</f>
        <v>532000</v>
      </c>
      <c r="O158" s="9">
        <f>M86-M87</f>
        <v>532000</v>
      </c>
    </row>
    <row r="159" spans="1:15" x14ac:dyDescent="0.25">
      <c r="A159" s="12" t="s">
        <v>206</v>
      </c>
      <c r="B159" s="38">
        <f>-C42</f>
        <v>-360000</v>
      </c>
      <c r="D159" s="13"/>
      <c r="M159" s="9"/>
    </row>
    <row r="160" spans="1:15" x14ac:dyDescent="0.25">
      <c r="A160" s="12" t="s">
        <v>207</v>
      </c>
      <c r="B160" s="12"/>
      <c r="D160" s="13"/>
      <c r="M160" s="9">
        <f>O160*1.3</f>
        <v>468000</v>
      </c>
      <c r="O160" s="9">
        <f>M85</f>
        <v>360000</v>
      </c>
    </row>
    <row r="161" spans="1:13" x14ac:dyDescent="0.25">
      <c r="A161" s="12" t="s">
        <v>170</v>
      </c>
      <c r="B161" s="43"/>
      <c r="M161" s="9">
        <f>-(M160-O160)*C49</f>
        <v>-21600</v>
      </c>
    </row>
    <row r="163" spans="1:13" x14ac:dyDescent="0.25">
      <c r="A163" s="15" t="s">
        <v>172</v>
      </c>
    </row>
    <row r="164" spans="1:13" x14ac:dyDescent="0.25">
      <c r="A164" s="12" t="s">
        <v>175</v>
      </c>
      <c r="C164" s="9">
        <f t="shared" ref="C164:M164" si="146">-(C79-B79)</f>
        <v>-1000</v>
      </c>
      <c r="D164" s="9">
        <f t="shared" si="146"/>
        <v>0</v>
      </c>
      <c r="E164" s="9">
        <f t="shared" si="146"/>
        <v>0</v>
      </c>
      <c r="F164" s="9">
        <f t="shared" si="146"/>
        <v>0</v>
      </c>
      <c r="G164" s="9">
        <f t="shared" si="146"/>
        <v>0</v>
      </c>
      <c r="H164" s="9">
        <f t="shared" si="146"/>
        <v>0</v>
      </c>
      <c r="I164" s="9">
        <f t="shared" si="146"/>
        <v>0</v>
      </c>
      <c r="J164" s="9">
        <f t="shared" si="146"/>
        <v>0</v>
      </c>
      <c r="K164" s="9">
        <f t="shared" si="146"/>
        <v>0</v>
      </c>
      <c r="L164" s="9">
        <f t="shared" si="146"/>
        <v>0</v>
      </c>
      <c r="M164" s="9">
        <f t="shared" si="146"/>
        <v>0</v>
      </c>
    </row>
    <row r="165" spans="1:13" x14ac:dyDescent="0.25">
      <c r="A165" s="12" t="str">
        <f>A81</f>
        <v>Accounts Recievable</v>
      </c>
      <c r="C165" s="9">
        <f t="shared" ref="C165:M165" si="147">-(C81-B81)</f>
        <v>-2326.875</v>
      </c>
      <c r="D165" s="9">
        <f t="shared" si="147"/>
        <v>-429.30843749999985</v>
      </c>
      <c r="E165" s="9">
        <f t="shared" si="147"/>
        <v>-508.51584421874941</v>
      </c>
      <c r="F165" s="9">
        <f t="shared" si="147"/>
        <v>-602.33701747710847</v>
      </c>
      <c r="G165" s="9">
        <f t="shared" si="147"/>
        <v>-1367.825982401278</v>
      </c>
      <c r="H165" s="9">
        <f t="shared" si="147"/>
        <v>-1740.918887523645</v>
      </c>
      <c r="I165" s="9">
        <f t="shared" si="147"/>
        <v>-2205.1219362387346</v>
      </c>
      <c r="J165" s="9">
        <f t="shared" si="147"/>
        <v>-2781.354595768662</v>
      </c>
      <c r="K165" s="9">
        <f t="shared" si="147"/>
        <v>-3495.1542046750892</v>
      </c>
      <c r="L165" s="9">
        <f t="shared" si="147"/>
        <v>-4377.6678634893615</v>
      </c>
      <c r="M165" s="9">
        <f t="shared" si="147"/>
        <v>-5466.8531394904276</v>
      </c>
    </row>
    <row r="166" spans="1:13" x14ac:dyDescent="0.25">
      <c r="A166" s="12" t="str">
        <f>A82</f>
        <v>Inventories</v>
      </c>
      <c r="C166" s="39">
        <f t="shared" ref="C166:M166" si="148">-(C82-B82)</f>
        <v>-225.22036842105263</v>
      </c>
      <c r="D166" s="39">
        <f t="shared" si="148"/>
        <v>-78.901451668947345</v>
      </c>
      <c r="E166" s="39">
        <f t="shared" si="148"/>
        <v>-109.58245722875728</v>
      </c>
      <c r="F166" s="39">
        <f t="shared" si="148"/>
        <v>-154.05776660761114</v>
      </c>
      <c r="G166" s="39">
        <f t="shared" si="148"/>
        <v>-268.07695992617653</v>
      </c>
      <c r="H166" s="39">
        <f t="shared" si="148"/>
        <v>-346.31457511218173</v>
      </c>
      <c r="I166" s="39">
        <f t="shared" si="148"/>
        <v>-472.41341593735069</v>
      </c>
      <c r="J166" s="39">
        <f t="shared" si="148"/>
        <v>-642.8049744111338</v>
      </c>
      <c r="K166" s="39">
        <f t="shared" si="148"/>
        <v>-746.3095940406547</v>
      </c>
      <c r="L166" s="39">
        <f t="shared" si="148"/>
        <v>-963.12850429663058</v>
      </c>
      <c r="M166" s="39">
        <f t="shared" si="148"/>
        <v>-1239.795008258121</v>
      </c>
    </row>
    <row r="167" spans="1:13" x14ac:dyDescent="0.25">
      <c r="A167" s="12" t="str">
        <f>A94</f>
        <v>Accounts Payable</v>
      </c>
      <c r="C167" s="9">
        <f t="shared" ref="C167:M167" si="149">C94-B94</f>
        <v>356.59891666666664</v>
      </c>
      <c r="D167" s="9">
        <f t="shared" si="149"/>
        <v>86.912070964583336</v>
      </c>
      <c r="E167" s="9">
        <f t="shared" si="149"/>
        <v>108.09471546042636</v>
      </c>
      <c r="F167" s="9">
        <f t="shared" si="149"/>
        <v>134.44009998601871</v>
      </c>
      <c r="G167" s="9">
        <f t="shared" si="149"/>
        <v>289.09970141694066</v>
      </c>
      <c r="H167" s="9">
        <f t="shared" si="149"/>
        <v>354.77727184068169</v>
      </c>
      <c r="I167" s="9">
        <f t="shared" si="149"/>
        <v>462.52480147526626</v>
      </c>
      <c r="J167" s="9">
        <f t="shared" si="149"/>
        <v>600.64822355734464</v>
      </c>
      <c r="K167" s="9">
        <f t="shared" si="149"/>
        <v>777.40582712568175</v>
      </c>
      <c r="L167" s="9">
        <f t="shared" si="149"/>
        <v>1003.2588586423235</v>
      </c>
      <c r="M167" s="9">
        <f t="shared" si="149"/>
        <v>1291.4531336022092</v>
      </c>
    </row>
    <row r="168" spans="1:13" x14ac:dyDescent="0.25">
      <c r="A168" s="12" t="str">
        <f>A95</f>
        <v>Income Tax Payable</v>
      </c>
      <c r="C168" s="9">
        <f t="shared" ref="C168:M168" si="150">C151-B151</f>
        <v>6413.4639999999999</v>
      </c>
      <c r="D168" s="9">
        <f t="shared" si="150"/>
        <v>2266.4974884000021</v>
      </c>
      <c r="E168" s="9">
        <f t="shared" si="150"/>
        <v>2696.8557861477857</v>
      </c>
      <c r="F168" s="9">
        <f t="shared" si="150"/>
        <v>3209.5860784321503</v>
      </c>
      <c r="G168" s="9">
        <f t="shared" si="150"/>
        <v>7250.1834253624329</v>
      </c>
      <c r="H168" s="9">
        <f t="shared" si="150"/>
        <v>9197.5329584777246</v>
      </c>
      <c r="I168" s="9">
        <f t="shared" si="150"/>
        <v>11681.543738477914</v>
      </c>
      <c r="J168" s="9">
        <f t="shared" si="150"/>
        <v>14775.533201504615</v>
      </c>
      <c r="K168" s="9">
        <f t="shared" si="150"/>
        <v>18621.748743811848</v>
      </c>
      <c r="L168" s="9">
        <f t="shared" si="150"/>
        <v>23394.618388184303</v>
      </c>
      <c r="M168" s="9">
        <f t="shared" si="150"/>
        <v>29307.90290110276</v>
      </c>
    </row>
    <row r="170" spans="1:13" x14ac:dyDescent="0.25">
      <c r="A170" s="40" t="s">
        <v>177</v>
      </c>
      <c r="D170" s="30"/>
    </row>
    <row r="171" spans="1:13" x14ac:dyDescent="0.25">
      <c r="A171" s="12" t="s">
        <v>175</v>
      </c>
      <c r="D171" s="30"/>
      <c r="M171" s="9">
        <f>M79</f>
        <v>1000</v>
      </c>
    </row>
    <row r="172" spans="1:13" x14ac:dyDescent="0.25">
      <c r="A172" s="12" t="s">
        <v>77</v>
      </c>
      <c r="D172" s="30"/>
      <c r="M172" s="9">
        <f>M81</f>
        <v>25301.932908783056</v>
      </c>
    </row>
    <row r="173" spans="1:13" x14ac:dyDescent="0.25">
      <c r="A173" s="12" t="s">
        <v>78</v>
      </c>
      <c r="M173" s="39">
        <f>M82</f>
        <v>5246.6050759086174</v>
      </c>
    </row>
    <row r="174" spans="1:13" x14ac:dyDescent="0.25">
      <c r="A174" s="12" t="s">
        <v>84</v>
      </c>
      <c r="M174" s="9">
        <f>-M94</f>
        <v>-5465.2136207381427</v>
      </c>
    </row>
    <row r="175" spans="1:13" x14ac:dyDescent="0.25">
      <c r="A175" s="12" t="s">
        <v>98</v>
      </c>
      <c r="M175" s="9">
        <f>-M151</f>
        <v>-128815.46670990154</v>
      </c>
    </row>
    <row r="177" spans="1:13" x14ac:dyDescent="0.25">
      <c r="A177" s="41" t="s">
        <v>178</v>
      </c>
      <c r="B177" s="8">
        <f>SUM(B157:B176)</f>
        <v>-1200000</v>
      </c>
      <c r="C177" s="8">
        <f t="shared" ref="C177:M177" si="151">SUM(C154:C176)</f>
        <v>56871.823548245615</v>
      </c>
      <c r="D177" s="8">
        <f t="shared" si="151"/>
        <v>64565.045623795639</v>
      </c>
      <c r="E177" s="8">
        <f t="shared" si="151"/>
        <v>75694.121298351849</v>
      </c>
      <c r="F177" s="8">
        <f t="shared" si="151"/>
        <v>88933.244806253206</v>
      </c>
      <c r="G177" s="8">
        <f t="shared" si="151"/>
        <v>121249.7272978214</v>
      </c>
      <c r="H177" s="8">
        <f t="shared" si="151"/>
        <v>159601.55571496297</v>
      </c>
      <c r="I177" s="8">
        <f t="shared" si="151"/>
        <v>208329.18708896911</v>
      </c>
      <c r="J177" s="8">
        <f t="shared" si="151"/>
        <v>269916.80856209266</v>
      </c>
      <c r="K177" s="8">
        <f t="shared" si="151"/>
        <v>347609.47245467966</v>
      </c>
      <c r="L177" s="8">
        <f t="shared" si="151"/>
        <v>445087.33611423563</v>
      </c>
      <c r="M177" s="8">
        <f t="shared" si="151"/>
        <v>1442822.4323806143</v>
      </c>
    </row>
    <row r="178" spans="1:13" x14ac:dyDescent="0.25">
      <c r="A178" s="12" t="s">
        <v>179</v>
      </c>
      <c r="B178">
        <v>0</v>
      </c>
      <c r="C178">
        <v>1</v>
      </c>
      <c r="D178">
        <v>2</v>
      </c>
      <c r="E178">
        <v>3</v>
      </c>
      <c r="F178">
        <v>4</v>
      </c>
      <c r="G178">
        <v>5</v>
      </c>
      <c r="H178">
        <v>6</v>
      </c>
      <c r="I178">
        <v>7</v>
      </c>
      <c r="J178">
        <v>8</v>
      </c>
      <c r="K178">
        <v>9</v>
      </c>
      <c r="L178">
        <v>10</v>
      </c>
      <c r="M178">
        <v>11</v>
      </c>
    </row>
    <row r="179" spans="1:13" x14ac:dyDescent="0.25">
      <c r="A179" s="12" t="s">
        <v>180</v>
      </c>
      <c r="B179" s="42">
        <f>A144</f>
        <v>0.11567098002731234</v>
      </c>
    </row>
    <row r="180" spans="1:13" x14ac:dyDescent="0.25">
      <c r="A180" s="41" t="s">
        <v>181</v>
      </c>
      <c r="B180" s="6">
        <f>PV($B$179,B178,,-B177)</f>
        <v>-1200000</v>
      </c>
      <c r="C180" s="6">
        <f t="shared" ref="C180:M180" si="152">PV($B$179,C178,,-C177)</f>
        <v>50975.443985155332</v>
      </c>
      <c r="D180" s="6">
        <f t="shared" si="152"/>
        <v>51871.067864639874</v>
      </c>
      <c r="E180" s="6">
        <f t="shared" si="152"/>
        <v>54507.183502325999</v>
      </c>
      <c r="F180" s="6">
        <f t="shared" si="152"/>
        <v>57401.017579453073</v>
      </c>
      <c r="G180" s="6">
        <f t="shared" si="152"/>
        <v>70145.543900813747</v>
      </c>
      <c r="H180" s="6">
        <f t="shared" si="152"/>
        <v>82759.965349809121</v>
      </c>
      <c r="I180" s="6">
        <f t="shared" si="152"/>
        <v>96827.152967348666</v>
      </c>
      <c r="J180" s="6">
        <f t="shared" si="152"/>
        <v>112445.17811960971</v>
      </c>
      <c r="K180" s="6">
        <f t="shared" si="152"/>
        <v>129797.51334506829</v>
      </c>
      <c r="L180" s="6">
        <f t="shared" si="152"/>
        <v>148964.87301457895</v>
      </c>
      <c r="M180" s="6">
        <f t="shared" si="152"/>
        <v>432828.03431210737</v>
      </c>
    </row>
    <row r="181" spans="1:13" x14ac:dyDescent="0.25">
      <c r="A181" s="53" t="s">
        <v>182</v>
      </c>
      <c r="B181" s="52">
        <f>SUM(B180:M180)</f>
        <v>88522.973940910306</v>
      </c>
    </row>
    <row r="182" spans="1:13" x14ac:dyDescent="0.25">
      <c r="A182" s="53" t="s">
        <v>183</v>
      </c>
      <c r="B182" s="42">
        <f>IRR(B177:M177)</f>
        <v>0.125613966850884</v>
      </c>
    </row>
    <row r="183" spans="1:13" x14ac:dyDescent="0.25">
      <c r="A183" s="53" t="s">
        <v>148</v>
      </c>
      <c r="B183" s="42">
        <f>A144</f>
        <v>0.11567098002731234</v>
      </c>
    </row>
    <row r="188" spans="1:13" x14ac:dyDescent="0.25">
      <c r="B188" t="s">
        <v>187</v>
      </c>
    </row>
  </sheetData>
  <pageMargins left="0.7" right="0.7" top="0.75" bottom="0.75" header="0.3" footer="0.3"/>
  <pageSetup scale="34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I154"/>
  <sheetViews>
    <sheetView topLeftCell="A54" workbookViewId="0">
      <selection activeCell="D21" sqref="D21"/>
    </sheetView>
  </sheetViews>
  <sheetFormatPr defaultColWidth="11.42578125" defaultRowHeight="15" x14ac:dyDescent="0.25"/>
  <cols>
    <col min="1" max="1" width="30.140625" customWidth="1"/>
    <col min="2" max="3" width="12.7109375" customWidth="1"/>
    <col min="4" max="4" width="12.85546875" customWidth="1"/>
    <col min="5" max="5" width="13.42578125" customWidth="1"/>
    <col min="6" max="6" width="12.42578125" customWidth="1"/>
    <col min="257" max="257" width="30.140625" customWidth="1"/>
    <col min="258" max="259" width="12.7109375" customWidth="1"/>
    <col min="260" max="260" width="12.85546875" customWidth="1"/>
    <col min="261" max="261" width="13.42578125" customWidth="1"/>
    <col min="262" max="262" width="12.42578125" customWidth="1"/>
    <col min="513" max="513" width="30.140625" customWidth="1"/>
    <col min="514" max="515" width="12.7109375" customWidth="1"/>
    <col min="516" max="516" width="12.85546875" customWidth="1"/>
    <col min="517" max="517" width="13.42578125" customWidth="1"/>
    <col min="518" max="518" width="12.42578125" customWidth="1"/>
    <col min="769" max="769" width="30.140625" customWidth="1"/>
    <col min="770" max="771" width="12.7109375" customWidth="1"/>
    <col min="772" max="772" width="12.85546875" customWidth="1"/>
    <col min="773" max="773" width="13.42578125" customWidth="1"/>
    <col min="774" max="774" width="12.42578125" customWidth="1"/>
    <col min="1025" max="1025" width="30.140625" customWidth="1"/>
    <col min="1026" max="1027" width="12.7109375" customWidth="1"/>
    <col min="1028" max="1028" width="12.85546875" customWidth="1"/>
    <col min="1029" max="1029" width="13.42578125" customWidth="1"/>
    <col min="1030" max="1030" width="12.42578125" customWidth="1"/>
    <col min="1281" max="1281" width="30.140625" customWidth="1"/>
    <col min="1282" max="1283" width="12.7109375" customWidth="1"/>
    <col min="1284" max="1284" width="12.85546875" customWidth="1"/>
    <col min="1285" max="1285" width="13.42578125" customWidth="1"/>
    <col min="1286" max="1286" width="12.42578125" customWidth="1"/>
    <col min="1537" max="1537" width="30.140625" customWidth="1"/>
    <col min="1538" max="1539" width="12.7109375" customWidth="1"/>
    <col min="1540" max="1540" width="12.85546875" customWidth="1"/>
    <col min="1541" max="1541" width="13.42578125" customWidth="1"/>
    <col min="1542" max="1542" width="12.42578125" customWidth="1"/>
    <col min="1793" max="1793" width="30.140625" customWidth="1"/>
    <col min="1794" max="1795" width="12.7109375" customWidth="1"/>
    <col min="1796" max="1796" width="12.85546875" customWidth="1"/>
    <col min="1797" max="1797" width="13.42578125" customWidth="1"/>
    <col min="1798" max="1798" width="12.42578125" customWidth="1"/>
    <col min="2049" max="2049" width="30.140625" customWidth="1"/>
    <col min="2050" max="2051" width="12.7109375" customWidth="1"/>
    <col min="2052" max="2052" width="12.85546875" customWidth="1"/>
    <col min="2053" max="2053" width="13.42578125" customWidth="1"/>
    <col min="2054" max="2054" width="12.42578125" customWidth="1"/>
    <col min="2305" max="2305" width="30.140625" customWidth="1"/>
    <col min="2306" max="2307" width="12.7109375" customWidth="1"/>
    <col min="2308" max="2308" width="12.85546875" customWidth="1"/>
    <col min="2309" max="2309" width="13.42578125" customWidth="1"/>
    <col min="2310" max="2310" width="12.42578125" customWidth="1"/>
    <col min="2561" max="2561" width="30.140625" customWidth="1"/>
    <col min="2562" max="2563" width="12.7109375" customWidth="1"/>
    <col min="2564" max="2564" width="12.85546875" customWidth="1"/>
    <col min="2565" max="2565" width="13.42578125" customWidth="1"/>
    <col min="2566" max="2566" width="12.42578125" customWidth="1"/>
    <col min="2817" max="2817" width="30.140625" customWidth="1"/>
    <col min="2818" max="2819" width="12.7109375" customWidth="1"/>
    <col min="2820" max="2820" width="12.85546875" customWidth="1"/>
    <col min="2821" max="2821" width="13.42578125" customWidth="1"/>
    <col min="2822" max="2822" width="12.42578125" customWidth="1"/>
    <col min="3073" max="3073" width="30.140625" customWidth="1"/>
    <col min="3074" max="3075" width="12.7109375" customWidth="1"/>
    <col min="3076" max="3076" width="12.85546875" customWidth="1"/>
    <col min="3077" max="3077" width="13.42578125" customWidth="1"/>
    <col min="3078" max="3078" width="12.42578125" customWidth="1"/>
    <col min="3329" max="3329" width="30.140625" customWidth="1"/>
    <col min="3330" max="3331" width="12.7109375" customWidth="1"/>
    <col min="3332" max="3332" width="12.85546875" customWidth="1"/>
    <col min="3333" max="3333" width="13.42578125" customWidth="1"/>
    <col min="3334" max="3334" width="12.42578125" customWidth="1"/>
    <col min="3585" max="3585" width="30.140625" customWidth="1"/>
    <col min="3586" max="3587" width="12.7109375" customWidth="1"/>
    <col min="3588" max="3588" width="12.85546875" customWidth="1"/>
    <col min="3589" max="3589" width="13.42578125" customWidth="1"/>
    <col min="3590" max="3590" width="12.42578125" customWidth="1"/>
    <col min="3841" max="3841" width="30.140625" customWidth="1"/>
    <col min="3842" max="3843" width="12.7109375" customWidth="1"/>
    <col min="3844" max="3844" width="12.85546875" customWidth="1"/>
    <col min="3845" max="3845" width="13.42578125" customWidth="1"/>
    <col min="3846" max="3846" width="12.42578125" customWidth="1"/>
    <col min="4097" max="4097" width="30.140625" customWidth="1"/>
    <col min="4098" max="4099" width="12.7109375" customWidth="1"/>
    <col min="4100" max="4100" width="12.85546875" customWidth="1"/>
    <col min="4101" max="4101" width="13.42578125" customWidth="1"/>
    <col min="4102" max="4102" width="12.42578125" customWidth="1"/>
    <col min="4353" max="4353" width="30.140625" customWidth="1"/>
    <col min="4354" max="4355" width="12.7109375" customWidth="1"/>
    <col min="4356" max="4356" width="12.85546875" customWidth="1"/>
    <col min="4357" max="4357" width="13.42578125" customWidth="1"/>
    <col min="4358" max="4358" width="12.42578125" customWidth="1"/>
    <col min="4609" max="4609" width="30.140625" customWidth="1"/>
    <col min="4610" max="4611" width="12.7109375" customWidth="1"/>
    <col min="4612" max="4612" width="12.85546875" customWidth="1"/>
    <col min="4613" max="4613" width="13.42578125" customWidth="1"/>
    <col min="4614" max="4614" width="12.42578125" customWidth="1"/>
    <col min="4865" max="4865" width="30.140625" customWidth="1"/>
    <col min="4866" max="4867" width="12.7109375" customWidth="1"/>
    <col min="4868" max="4868" width="12.85546875" customWidth="1"/>
    <col min="4869" max="4869" width="13.42578125" customWidth="1"/>
    <col min="4870" max="4870" width="12.42578125" customWidth="1"/>
    <col min="5121" max="5121" width="30.140625" customWidth="1"/>
    <col min="5122" max="5123" width="12.7109375" customWidth="1"/>
    <col min="5124" max="5124" width="12.85546875" customWidth="1"/>
    <col min="5125" max="5125" width="13.42578125" customWidth="1"/>
    <col min="5126" max="5126" width="12.42578125" customWidth="1"/>
    <col min="5377" max="5377" width="30.140625" customWidth="1"/>
    <col min="5378" max="5379" width="12.7109375" customWidth="1"/>
    <col min="5380" max="5380" width="12.85546875" customWidth="1"/>
    <col min="5381" max="5381" width="13.42578125" customWidth="1"/>
    <col min="5382" max="5382" width="12.42578125" customWidth="1"/>
    <col min="5633" max="5633" width="30.140625" customWidth="1"/>
    <col min="5634" max="5635" width="12.7109375" customWidth="1"/>
    <col min="5636" max="5636" width="12.85546875" customWidth="1"/>
    <col min="5637" max="5637" width="13.42578125" customWidth="1"/>
    <col min="5638" max="5638" width="12.42578125" customWidth="1"/>
    <col min="5889" max="5889" width="30.140625" customWidth="1"/>
    <col min="5890" max="5891" width="12.7109375" customWidth="1"/>
    <col min="5892" max="5892" width="12.85546875" customWidth="1"/>
    <col min="5893" max="5893" width="13.42578125" customWidth="1"/>
    <col min="5894" max="5894" width="12.42578125" customWidth="1"/>
    <col min="6145" max="6145" width="30.140625" customWidth="1"/>
    <col min="6146" max="6147" width="12.7109375" customWidth="1"/>
    <col min="6148" max="6148" width="12.85546875" customWidth="1"/>
    <col min="6149" max="6149" width="13.42578125" customWidth="1"/>
    <col min="6150" max="6150" width="12.42578125" customWidth="1"/>
    <col min="6401" max="6401" width="30.140625" customWidth="1"/>
    <col min="6402" max="6403" width="12.7109375" customWidth="1"/>
    <col min="6404" max="6404" width="12.85546875" customWidth="1"/>
    <col min="6405" max="6405" width="13.42578125" customWidth="1"/>
    <col min="6406" max="6406" width="12.42578125" customWidth="1"/>
    <col min="6657" max="6657" width="30.140625" customWidth="1"/>
    <col min="6658" max="6659" width="12.7109375" customWidth="1"/>
    <col min="6660" max="6660" width="12.85546875" customWidth="1"/>
    <col min="6661" max="6661" width="13.42578125" customWidth="1"/>
    <col min="6662" max="6662" width="12.42578125" customWidth="1"/>
    <col min="6913" max="6913" width="30.140625" customWidth="1"/>
    <col min="6914" max="6915" width="12.7109375" customWidth="1"/>
    <col min="6916" max="6916" width="12.85546875" customWidth="1"/>
    <col min="6917" max="6917" width="13.42578125" customWidth="1"/>
    <col min="6918" max="6918" width="12.42578125" customWidth="1"/>
    <col min="7169" max="7169" width="30.140625" customWidth="1"/>
    <col min="7170" max="7171" width="12.7109375" customWidth="1"/>
    <col min="7172" max="7172" width="12.85546875" customWidth="1"/>
    <col min="7173" max="7173" width="13.42578125" customWidth="1"/>
    <col min="7174" max="7174" width="12.42578125" customWidth="1"/>
    <col min="7425" max="7425" width="30.140625" customWidth="1"/>
    <col min="7426" max="7427" width="12.7109375" customWidth="1"/>
    <col min="7428" max="7428" width="12.85546875" customWidth="1"/>
    <col min="7429" max="7429" width="13.42578125" customWidth="1"/>
    <col min="7430" max="7430" width="12.42578125" customWidth="1"/>
    <col min="7681" max="7681" width="30.140625" customWidth="1"/>
    <col min="7682" max="7683" width="12.7109375" customWidth="1"/>
    <col min="7684" max="7684" width="12.85546875" customWidth="1"/>
    <col min="7685" max="7685" width="13.42578125" customWidth="1"/>
    <col min="7686" max="7686" width="12.42578125" customWidth="1"/>
    <col min="7937" max="7937" width="30.140625" customWidth="1"/>
    <col min="7938" max="7939" width="12.7109375" customWidth="1"/>
    <col min="7940" max="7940" width="12.85546875" customWidth="1"/>
    <col min="7941" max="7941" width="13.42578125" customWidth="1"/>
    <col min="7942" max="7942" width="12.42578125" customWidth="1"/>
    <col min="8193" max="8193" width="30.140625" customWidth="1"/>
    <col min="8194" max="8195" width="12.7109375" customWidth="1"/>
    <col min="8196" max="8196" width="12.85546875" customWidth="1"/>
    <col min="8197" max="8197" width="13.42578125" customWidth="1"/>
    <col min="8198" max="8198" width="12.42578125" customWidth="1"/>
    <col min="8449" max="8449" width="30.140625" customWidth="1"/>
    <col min="8450" max="8451" width="12.7109375" customWidth="1"/>
    <col min="8452" max="8452" width="12.85546875" customWidth="1"/>
    <col min="8453" max="8453" width="13.42578125" customWidth="1"/>
    <col min="8454" max="8454" width="12.42578125" customWidth="1"/>
    <col min="8705" max="8705" width="30.140625" customWidth="1"/>
    <col min="8706" max="8707" width="12.7109375" customWidth="1"/>
    <col min="8708" max="8708" width="12.85546875" customWidth="1"/>
    <col min="8709" max="8709" width="13.42578125" customWidth="1"/>
    <col min="8710" max="8710" width="12.42578125" customWidth="1"/>
    <col min="8961" max="8961" width="30.140625" customWidth="1"/>
    <col min="8962" max="8963" width="12.7109375" customWidth="1"/>
    <col min="8964" max="8964" width="12.85546875" customWidth="1"/>
    <col min="8965" max="8965" width="13.42578125" customWidth="1"/>
    <col min="8966" max="8966" width="12.42578125" customWidth="1"/>
    <col min="9217" max="9217" width="30.140625" customWidth="1"/>
    <col min="9218" max="9219" width="12.7109375" customWidth="1"/>
    <col min="9220" max="9220" width="12.85546875" customWidth="1"/>
    <col min="9221" max="9221" width="13.42578125" customWidth="1"/>
    <col min="9222" max="9222" width="12.42578125" customWidth="1"/>
    <col min="9473" max="9473" width="30.140625" customWidth="1"/>
    <col min="9474" max="9475" width="12.7109375" customWidth="1"/>
    <col min="9476" max="9476" width="12.85546875" customWidth="1"/>
    <col min="9477" max="9477" width="13.42578125" customWidth="1"/>
    <col min="9478" max="9478" width="12.42578125" customWidth="1"/>
    <col min="9729" max="9729" width="30.140625" customWidth="1"/>
    <col min="9730" max="9731" width="12.7109375" customWidth="1"/>
    <col min="9732" max="9732" width="12.85546875" customWidth="1"/>
    <col min="9733" max="9733" width="13.42578125" customWidth="1"/>
    <col min="9734" max="9734" width="12.42578125" customWidth="1"/>
    <col min="9985" max="9985" width="30.140625" customWidth="1"/>
    <col min="9986" max="9987" width="12.7109375" customWidth="1"/>
    <col min="9988" max="9988" width="12.85546875" customWidth="1"/>
    <col min="9989" max="9989" width="13.42578125" customWidth="1"/>
    <col min="9990" max="9990" width="12.42578125" customWidth="1"/>
    <col min="10241" max="10241" width="30.140625" customWidth="1"/>
    <col min="10242" max="10243" width="12.7109375" customWidth="1"/>
    <col min="10244" max="10244" width="12.85546875" customWidth="1"/>
    <col min="10245" max="10245" width="13.42578125" customWidth="1"/>
    <col min="10246" max="10246" width="12.42578125" customWidth="1"/>
    <col min="10497" max="10497" width="30.140625" customWidth="1"/>
    <col min="10498" max="10499" width="12.7109375" customWidth="1"/>
    <col min="10500" max="10500" width="12.85546875" customWidth="1"/>
    <col min="10501" max="10501" width="13.42578125" customWidth="1"/>
    <col min="10502" max="10502" width="12.42578125" customWidth="1"/>
    <col min="10753" max="10753" width="30.140625" customWidth="1"/>
    <col min="10754" max="10755" width="12.7109375" customWidth="1"/>
    <col min="10756" max="10756" width="12.85546875" customWidth="1"/>
    <col min="10757" max="10757" width="13.42578125" customWidth="1"/>
    <col min="10758" max="10758" width="12.42578125" customWidth="1"/>
    <col min="11009" max="11009" width="30.140625" customWidth="1"/>
    <col min="11010" max="11011" width="12.7109375" customWidth="1"/>
    <col min="11012" max="11012" width="12.85546875" customWidth="1"/>
    <col min="11013" max="11013" width="13.42578125" customWidth="1"/>
    <col min="11014" max="11014" width="12.42578125" customWidth="1"/>
    <col min="11265" max="11265" width="30.140625" customWidth="1"/>
    <col min="11266" max="11267" width="12.7109375" customWidth="1"/>
    <col min="11268" max="11268" width="12.85546875" customWidth="1"/>
    <col min="11269" max="11269" width="13.42578125" customWidth="1"/>
    <col min="11270" max="11270" width="12.42578125" customWidth="1"/>
    <col min="11521" max="11521" width="30.140625" customWidth="1"/>
    <col min="11522" max="11523" width="12.7109375" customWidth="1"/>
    <col min="11524" max="11524" width="12.85546875" customWidth="1"/>
    <col min="11525" max="11525" width="13.42578125" customWidth="1"/>
    <col min="11526" max="11526" width="12.42578125" customWidth="1"/>
    <col min="11777" max="11777" width="30.140625" customWidth="1"/>
    <col min="11778" max="11779" width="12.7109375" customWidth="1"/>
    <col min="11780" max="11780" width="12.85546875" customWidth="1"/>
    <col min="11781" max="11781" width="13.42578125" customWidth="1"/>
    <col min="11782" max="11782" width="12.42578125" customWidth="1"/>
    <col min="12033" max="12033" width="30.140625" customWidth="1"/>
    <col min="12034" max="12035" width="12.7109375" customWidth="1"/>
    <col min="12036" max="12036" width="12.85546875" customWidth="1"/>
    <col min="12037" max="12037" width="13.42578125" customWidth="1"/>
    <col min="12038" max="12038" width="12.42578125" customWidth="1"/>
    <col min="12289" max="12289" width="30.140625" customWidth="1"/>
    <col min="12290" max="12291" width="12.7109375" customWidth="1"/>
    <col min="12292" max="12292" width="12.85546875" customWidth="1"/>
    <col min="12293" max="12293" width="13.42578125" customWidth="1"/>
    <col min="12294" max="12294" width="12.42578125" customWidth="1"/>
    <col min="12545" max="12545" width="30.140625" customWidth="1"/>
    <col min="12546" max="12547" width="12.7109375" customWidth="1"/>
    <col min="12548" max="12548" width="12.85546875" customWidth="1"/>
    <col min="12549" max="12549" width="13.42578125" customWidth="1"/>
    <col min="12550" max="12550" width="12.42578125" customWidth="1"/>
    <col min="12801" max="12801" width="30.140625" customWidth="1"/>
    <col min="12802" max="12803" width="12.7109375" customWidth="1"/>
    <col min="12804" max="12804" width="12.85546875" customWidth="1"/>
    <col min="12805" max="12805" width="13.42578125" customWidth="1"/>
    <col min="12806" max="12806" width="12.42578125" customWidth="1"/>
    <col min="13057" max="13057" width="30.140625" customWidth="1"/>
    <col min="13058" max="13059" width="12.7109375" customWidth="1"/>
    <col min="13060" max="13060" width="12.85546875" customWidth="1"/>
    <col min="13061" max="13061" width="13.42578125" customWidth="1"/>
    <col min="13062" max="13062" width="12.42578125" customWidth="1"/>
    <col min="13313" max="13313" width="30.140625" customWidth="1"/>
    <col min="13314" max="13315" width="12.7109375" customWidth="1"/>
    <col min="13316" max="13316" width="12.85546875" customWidth="1"/>
    <col min="13317" max="13317" width="13.42578125" customWidth="1"/>
    <col min="13318" max="13318" width="12.42578125" customWidth="1"/>
    <col min="13569" max="13569" width="30.140625" customWidth="1"/>
    <col min="13570" max="13571" width="12.7109375" customWidth="1"/>
    <col min="13572" max="13572" width="12.85546875" customWidth="1"/>
    <col min="13573" max="13573" width="13.42578125" customWidth="1"/>
    <col min="13574" max="13574" width="12.42578125" customWidth="1"/>
    <col min="13825" max="13825" width="30.140625" customWidth="1"/>
    <col min="13826" max="13827" width="12.7109375" customWidth="1"/>
    <col min="13828" max="13828" width="12.85546875" customWidth="1"/>
    <col min="13829" max="13829" width="13.42578125" customWidth="1"/>
    <col min="13830" max="13830" width="12.42578125" customWidth="1"/>
    <col min="14081" max="14081" width="30.140625" customWidth="1"/>
    <col min="14082" max="14083" width="12.7109375" customWidth="1"/>
    <col min="14084" max="14084" width="12.85546875" customWidth="1"/>
    <col min="14085" max="14085" width="13.42578125" customWidth="1"/>
    <col min="14086" max="14086" width="12.42578125" customWidth="1"/>
    <col min="14337" max="14337" width="30.140625" customWidth="1"/>
    <col min="14338" max="14339" width="12.7109375" customWidth="1"/>
    <col min="14340" max="14340" width="12.85546875" customWidth="1"/>
    <col min="14341" max="14341" width="13.42578125" customWidth="1"/>
    <col min="14342" max="14342" width="12.42578125" customWidth="1"/>
    <col min="14593" max="14593" width="30.140625" customWidth="1"/>
    <col min="14594" max="14595" width="12.7109375" customWidth="1"/>
    <col min="14596" max="14596" width="12.85546875" customWidth="1"/>
    <col min="14597" max="14597" width="13.42578125" customWidth="1"/>
    <col min="14598" max="14598" width="12.42578125" customWidth="1"/>
    <col min="14849" max="14849" width="30.140625" customWidth="1"/>
    <col min="14850" max="14851" width="12.7109375" customWidth="1"/>
    <col min="14852" max="14852" width="12.85546875" customWidth="1"/>
    <col min="14853" max="14853" width="13.42578125" customWidth="1"/>
    <col min="14854" max="14854" width="12.42578125" customWidth="1"/>
    <col min="15105" max="15105" width="30.140625" customWidth="1"/>
    <col min="15106" max="15107" width="12.7109375" customWidth="1"/>
    <col min="15108" max="15108" width="12.85546875" customWidth="1"/>
    <col min="15109" max="15109" width="13.42578125" customWidth="1"/>
    <col min="15110" max="15110" width="12.42578125" customWidth="1"/>
    <col min="15361" max="15361" width="30.140625" customWidth="1"/>
    <col min="15362" max="15363" width="12.7109375" customWidth="1"/>
    <col min="15364" max="15364" width="12.85546875" customWidth="1"/>
    <col min="15365" max="15365" width="13.42578125" customWidth="1"/>
    <col min="15366" max="15366" width="12.42578125" customWidth="1"/>
    <col min="15617" max="15617" width="30.140625" customWidth="1"/>
    <col min="15618" max="15619" width="12.7109375" customWidth="1"/>
    <col min="15620" max="15620" width="12.85546875" customWidth="1"/>
    <col min="15621" max="15621" width="13.42578125" customWidth="1"/>
    <col min="15622" max="15622" width="12.42578125" customWidth="1"/>
    <col min="15873" max="15873" width="30.140625" customWidth="1"/>
    <col min="15874" max="15875" width="12.7109375" customWidth="1"/>
    <col min="15876" max="15876" width="12.85546875" customWidth="1"/>
    <col min="15877" max="15877" width="13.42578125" customWidth="1"/>
    <col min="15878" max="15878" width="12.42578125" customWidth="1"/>
    <col min="16129" max="16129" width="30.140625" customWidth="1"/>
    <col min="16130" max="16131" width="12.7109375" customWidth="1"/>
    <col min="16132" max="16132" width="12.85546875" customWidth="1"/>
    <col min="16133" max="16133" width="13.42578125" customWidth="1"/>
    <col min="16134" max="16134" width="12.42578125" customWidth="1"/>
  </cols>
  <sheetData>
    <row r="1" spans="1: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9" x14ac:dyDescent="0.25">
      <c r="A2" s="1" t="s">
        <v>5</v>
      </c>
      <c r="B2" s="2">
        <v>1200000</v>
      </c>
      <c r="C2" s="2">
        <f>E2-D2</f>
        <v>1464.6509093081759</v>
      </c>
      <c r="D2" s="2">
        <f t="shared" ref="D2:D13" si="0">+B2*0.07/12</f>
        <v>7000.0000000000009</v>
      </c>
      <c r="E2" s="2">
        <f t="shared" ref="E2:E13" si="1">$I$4</f>
        <v>8464.6509093081768</v>
      </c>
      <c r="F2" s="2">
        <f>+B2+C2</f>
        <v>1201464.6509093081</v>
      </c>
      <c r="H2" t="s">
        <v>54</v>
      </c>
      <c r="I2">
        <v>7.5899999999999995E-2</v>
      </c>
    </row>
    <row r="3" spans="1:9" x14ac:dyDescent="0.25">
      <c r="A3" s="1" t="s">
        <v>6</v>
      </c>
      <c r="B3" s="2">
        <f t="shared" ref="B3:B13" si="2">+F2</f>
        <v>1201464.6509093081</v>
      </c>
      <c r="C3" s="2">
        <f t="shared" ref="C3:C13" si="3">E3-D3</f>
        <v>1456.1071123372121</v>
      </c>
      <c r="D3" s="2">
        <f t="shared" si="0"/>
        <v>7008.5437969709646</v>
      </c>
      <c r="E3" s="2">
        <f t="shared" si="1"/>
        <v>8464.6509093081768</v>
      </c>
      <c r="F3" s="2">
        <f t="shared" ref="F3:F13" si="4">+B3-C3</f>
        <v>1200008.543796971</v>
      </c>
      <c r="H3" t="s">
        <v>55</v>
      </c>
      <c r="I3">
        <v>360</v>
      </c>
    </row>
    <row r="4" spans="1:9" x14ac:dyDescent="0.25">
      <c r="A4" s="1" t="s">
        <v>7</v>
      </c>
      <c r="B4" s="2">
        <f t="shared" si="2"/>
        <v>1200008.543796971</v>
      </c>
      <c r="C4" s="2">
        <f t="shared" si="3"/>
        <v>1464.6010704925129</v>
      </c>
      <c r="D4" s="2">
        <f t="shared" si="0"/>
        <v>7000.0498388156639</v>
      </c>
      <c r="E4" s="2">
        <f t="shared" si="1"/>
        <v>8464.6509093081768</v>
      </c>
      <c r="F4" s="2">
        <f t="shared" si="4"/>
        <v>1198543.9427264784</v>
      </c>
      <c r="H4" t="s">
        <v>3</v>
      </c>
      <c r="I4" s="6">
        <f>PMT(I2/12,I3,-B2)</f>
        <v>8464.6509093081768</v>
      </c>
    </row>
    <row r="5" spans="1:9" x14ac:dyDescent="0.25">
      <c r="A5" s="1" t="s">
        <v>8</v>
      </c>
      <c r="B5" s="2">
        <f t="shared" si="2"/>
        <v>1198543.9427264784</v>
      </c>
      <c r="C5" s="2">
        <f t="shared" si="3"/>
        <v>1473.1445767370524</v>
      </c>
      <c r="D5" s="2">
        <f t="shared" si="0"/>
        <v>6991.5063325711244</v>
      </c>
      <c r="E5" s="2">
        <f t="shared" si="1"/>
        <v>8464.6509093081768</v>
      </c>
      <c r="F5" s="2">
        <f t="shared" si="4"/>
        <v>1197070.7981497415</v>
      </c>
    </row>
    <row r="6" spans="1:9" x14ac:dyDescent="0.25">
      <c r="A6" s="1" t="s">
        <v>9</v>
      </c>
      <c r="B6" s="2">
        <f t="shared" si="2"/>
        <v>1197070.7981497415</v>
      </c>
      <c r="C6" s="2">
        <f t="shared" si="3"/>
        <v>1481.7379201013509</v>
      </c>
      <c r="D6" s="2">
        <f t="shared" si="0"/>
        <v>6982.9129892068258</v>
      </c>
      <c r="E6" s="2">
        <f t="shared" si="1"/>
        <v>8464.6509093081768</v>
      </c>
      <c r="F6" s="2">
        <f t="shared" si="4"/>
        <v>1195589.0602296402</v>
      </c>
    </row>
    <row r="7" spans="1:9" x14ac:dyDescent="0.25">
      <c r="A7" s="1" t="s">
        <v>10</v>
      </c>
      <c r="B7" s="2">
        <f t="shared" si="2"/>
        <v>1195589.0602296402</v>
      </c>
      <c r="C7" s="2">
        <f t="shared" si="3"/>
        <v>1490.3813913019412</v>
      </c>
      <c r="D7" s="2">
        <f t="shared" si="0"/>
        <v>6974.2695180062356</v>
      </c>
      <c r="E7" s="2">
        <f t="shared" si="1"/>
        <v>8464.6509093081768</v>
      </c>
      <c r="F7" s="2">
        <f t="shared" si="4"/>
        <v>1194098.6788383382</v>
      </c>
    </row>
    <row r="8" spans="1:9" x14ac:dyDescent="0.25">
      <c r="A8" s="1" t="s">
        <v>11</v>
      </c>
      <c r="B8" s="2">
        <f t="shared" si="2"/>
        <v>1194098.6788383382</v>
      </c>
      <c r="C8" s="2">
        <f t="shared" si="3"/>
        <v>1499.0752827512033</v>
      </c>
      <c r="D8" s="2">
        <f t="shared" si="0"/>
        <v>6965.5756265569735</v>
      </c>
      <c r="E8" s="2">
        <f t="shared" si="1"/>
        <v>8464.6509093081768</v>
      </c>
      <c r="F8" s="2">
        <f t="shared" si="4"/>
        <v>1192599.6035555871</v>
      </c>
    </row>
    <row r="9" spans="1:9" x14ac:dyDescent="0.25">
      <c r="A9" s="1" t="s">
        <v>12</v>
      </c>
      <c r="B9" s="2">
        <f t="shared" si="2"/>
        <v>1192599.6035555871</v>
      </c>
      <c r="C9" s="2">
        <f t="shared" si="3"/>
        <v>1507.8198885672509</v>
      </c>
      <c r="D9" s="2">
        <f t="shared" si="0"/>
        <v>6956.8310207409259</v>
      </c>
      <c r="E9" s="2">
        <f t="shared" si="1"/>
        <v>8464.6509093081768</v>
      </c>
      <c r="F9" s="2">
        <f t="shared" si="4"/>
        <v>1191091.7836670198</v>
      </c>
    </row>
    <row r="10" spans="1:9" x14ac:dyDescent="0.25">
      <c r="A10" s="1" t="s">
        <v>13</v>
      </c>
      <c r="B10" s="2">
        <f t="shared" si="2"/>
        <v>1191091.7836670198</v>
      </c>
      <c r="C10" s="2">
        <f t="shared" si="3"/>
        <v>1516.6155045838941</v>
      </c>
      <c r="D10" s="2">
        <f t="shared" si="0"/>
        <v>6948.0354047242827</v>
      </c>
      <c r="E10" s="2">
        <f t="shared" si="1"/>
        <v>8464.6509093081768</v>
      </c>
      <c r="F10" s="2">
        <f t="shared" si="4"/>
        <v>1189575.168162436</v>
      </c>
    </row>
    <row r="11" spans="1:9" x14ac:dyDescent="0.25">
      <c r="A11" s="1" t="s">
        <v>14</v>
      </c>
      <c r="B11" s="2">
        <f t="shared" si="2"/>
        <v>1189575.168162436</v>
      </c>
      <c r="C11" s="2">
        <f t="shared" si="3"/>
        <v>1525.4624283606327</v>
      </c>
      <c r="D11" s="2">
        <f t="shared" si="0"/>
        <v>6939.1884809475441</v>
      </c>
      <c r="E11" s="2">
        <f t="shared" si="1"/>
        <v>8464.6509093081768</v>
      </c>
      <c r="F11" s="2">
        <f t="shared" si="4"/>
        <v>1188049.7057340753</v>
      </c>
    </row>
    <row r="12" spans="1:9" x14ac:dyDescent="0.25">
      <c r="A12" s="1" t="s">
        <v>15</v>
      </c>
      <c r="B12" s="2">
        <f t="shared" si="2"/>
        <v>1188049.7057340753</v>
      </c>
      <c r="C12" s="2">
        <f t="shared" si="3"/>
        <v>1534.360959192737</v>
      </c>
      <c r="D12" s="2">
        <f t="shared" si="0"/>
        <v>6930.2899501154398</v>
      </c>
      <c r="E12" s="2">
        <f t="shared" si="1"/>
        <v>8464.6509093081768</v>
      </c>
      <c r="F12" s="2">
        <f t="shared" si="4"/>
        <v>1186515.3447748825</v>
      </c>
    </row>
    <row r="13" spans="1:9" x14ac:dyDescent="0.25">
      <c r="A13" s="1" t="s">
        <v>16</v>
      </c>
      <c r="B13" s="2">
        <f t="shared" si="2"/>
        <v>1186515.3447748825</v>
      </c>
      <c r="C13" s="2">
        <f t="shared" si="3"/>
        <v>1543.311398121361</v>
      </c>
      <c r="D13" s="2">
        <f t="shared" si="0"/>
        <v>6921.3395111868158</v>
      </c>
      <c r="E13" s="2">
        <f t="shared" si="1"/>
        <v>8464.6509093081768</v>
      </c>
      <c r="F13" s="3">
        <f t="shared" si="4"/>
        <v>1184972.0333767612</v>
      </c>
    </row>
    <row r="14" spans="1:9" x14ac:dyDescent="0.25">
      <c r="A14" s="4" t="s">
        <v>17</v>
      </c>
      <c r="B14" s="4"/>
      <c r="C14" s="3">
        <f>SUM(C2:C13)</f>
        <v>17957.268441855322</v>
      </c>
      <c r="D14" s="3">
        <f>SUM(D2:D13)</f>
        <v>83618.542469842796</v>
      </c>
      <c r="E14" s="2"/>
      <c r="F14" s="2"/>
    </row>
    <row r="15" spans="1:9" x14ac:dyDescent="0.25">
      <c r="A15" s="1"/>
      <c r="B15" s="1"/>
      <c r="C15" s="2"/>
      <c r="D15" s="2"/>
      <c r="E15" s="2"/>
      <c r="F15" s="2"/>
    </row>
    <row r="16" spans="1:9" x14ac:dyDescent="0.25">
      <c r="A16" s="1" t="s">
        <v>18</v>
      </c>
      <c r="B16" s="2">
        <f>+F13</f>
        <v>1184972.0333767612</v>
      </c>
      <c r="C16" s="2">
        <f>E16-D16</f>
        <v>1552.3140479437352</v>
      </c>
      <c r="D16" s="2">
        <f t="shared" ref="D16:D27" si="5">+B16*0.07/12</f>
        <v>6912.3368613644416</v>
      </c>
      <c r="E16" s="2">
        <f t="shared" ref="E16:E27" si="6">$I$4</f>
        <v>8464.6509093081768</v>
      </c>
      <c r="F16" s="2">
        <f t="shared" ref="F16:F27" si="7">+B16-C16</f>
        <v>1183419.7193288174</v>
      </c>
    </row>
    <row r="17" spans="1:6" x14ac:dyDescent="0.25">
      <c r="A17" s="1" t="s">
        <v>19</v>
      </c>
      <c r="B17" s="2">
        <f t="shared" ref="B17:B27" si="8">+F16</f>
        <v>1183419.7193288174</v>
      </c>
      <c r="C17" s="2">
        <f t="shared" ref="C17:C41" si="9">E17-D17</f>
        <v>1561.3692132234073</v>
      </c>
      <c r="D17" s="2">
        <f t="shared" si="5"/>
        <v>6903.2816960847695</v>
      </c>
      <c r="E17" s="2">
        <f t="shared" si="6"/>
        <v>8464.6509093081768</v>
      </c>
      <c r="F17" s="2">
        <f t="shared" si="7"/>
        <v>1181858.350115594</v>
      </c>
    </row>
    <row r="18" spans="1:6" x14ac:dyDescent="0.25">
      <c r="A18" s="1" t="s">
        <v>20</v>
      </c>
      <c r="B18" s="2">
        <f t="shared" si="8"/>
        <v>1181858.350115594</v>
      </c>
      <c r="C18" s="2">
        <f t="shared" si="9"/>
        <v>1570.4772003005446</v>
      </c>
      <c r="D18" s="2">
        <f t="shared" si="5"/>
        <v>6894.1737090076322</v>
      </c>
      <c r="E18" s="2">
        <f t="shared" si="6"/>
        <v>8464.6509093081768</v>
      </c>
      <c r="F18" s="2">
        <f t="shared" si="7"/>
        <v>1180287.8729152936</v>
      </c>
    </row>
    <row r="19" spans="1:6" x14ac:dyDescent="0.25">
      <c r="A19" s="1" t="s">
        <v>21</v>
      </c>
      <c r="B19" s="2">
        <f t="shared" si="8"/>
        <v>1180287.8729152936</v>
      </c>
      <c r="C19" s="2">
        <f t="shared" si="9"/>
        <v>1579.6383173022978</v>
      </c>
      <c r="D19" s="2">
        <f t="shared" si="5"/>
        <v>6885.012592005879</v>
      </c>
      <c r="E19" s="2">
        <f t="shared" si="6"/>
        <v>8464.6509093081768</v>
      </c>
      <c r="F19" s="2">
        <f t="shared" si="7"/>
        <v>1178708.2345979912</v>
      </c>
    </row>
    <row r="20" spans="1:6" x14ac:dyDescent="0.25">
      <c r="A20" s="1" t="s">
        <v>22</v>
      </c>
      <c r="B20" s="2">
        <f t="shared" si="8"/>
        <v>1178708.2345979912</v>
      </c>
      <c r="C20" s="2">
        <f t="shared" si="9"/>
        <v>1588.8528741532273</v>
      </c>
      <c r="D20" s="2">
        <f t="shared" si="5"/>
        <v>6875.7980351549495</v>
      </c>
      <c r="E20" s="2">
        <f t="shared" si="6"/>
        <v>8464.6509093081768</v>
      </c>
      <c r="F20" s="2">
        <f t="shared" si="7"/>
        <v>1177119.3817238379</v>
      </c>
    </row>
    <row r="21" spans="1:6" x14ac:dyDescent="0.25">
      <c r="A21" s="1" t="s">
        <v>23</v>
      </c>
      <c r="B21" s="2">
        <f t="shared" si="8"/>
        <v>1177119.3817238379</v>
      </c>
      <c r="C21" s="2">
        <f t="shared" si="9"/>
        <v>1598.121182585789</v>
      </c>
      <c r="D21" s="2">
        <f t="shared" si="5"/>
        <v>6866.5297267223877</v>
      </c>
      <c r="E21" s="2">
        <f t="shared" si="6"/>
        <v>8464.6509093081768</v>
      </c>
      <c r="F21" s="2">
        <f t="shared" si="7"/>
        <v>1175521.2605412521</v>
      </c>
    </row>
    <row r="22" spans="1:6" x14ac:dyDescent="0.25">
      <c r="A22" s="1" t="s">
        <v>24</v>
      </c>
      <c r="B22" s="2">
        <f t="shared" si="8"/>
        <v>1175521.2605412521</v>
      </c>
      <c r="C22" s="2">
        <f t="shared" si="9"/>
        <v>1607.4435561508726</v>
      </c>
      <c r="D22" s="2">
        <f t="shared" si="5"/>
        <v>6857.2073531573042</v>
      </c>
      <c r="E22" s="2">
        <f t="shared" si="6"/>
        <v>8464.6509093081768</v>
      </c>
      <c r="F22" s="2">
        <f t="shared" si="7"/>
        <v>1173913.8169851012</v>
      </c>
    </row>
    <row r="23" spans="1:6" x14ac:dyDescent="0.25">
      <c r="A23" s="1" t="s">
        <v>25</v>
      </c>
      <c r="B23" s="2">
        <f t="shared" si="8"/>
        <v>1173913.8169851012</v>
      </c>
      <c r="C23" s="2">
        <f t="shared" si="9"/>
        <v>1616.8203102284197</v>
      </c>
      <c r="D23" s="2">
        <f t="shared" si="5"/>
        <v>6847.8305990797571</v>
      </c>
      <c r="E23" s="2">
        <f t="shared" si="6"/>
        <v>8464.6509093081768</v>
      </c>
      <c r="F23" s="2">
        <f t="shared" si="7"/>
        <v>1172296.9966748727</v>
      </c>
    </row>
    <row r="24" spans="1:6" x14ac:dyDescent="0.25">
      <c r="A24" s="1" t="s">
        <v>26</v>
      </c>
      <c r="B24" s="2">
        <f t="shared" si="8"/>
        <v>1172296.9966748727</v>
      </c>
      <c r="C24" s="2">
        <f t="shared" si="9"/>
        <v>1626.2517620380859</v>
      </c>
      <c r="D24" s="2">
        <f t="shared" si="5"/>
        <v>6838.3991472700909</v>
      </c>
      <c r="E24" s="2">
        <f t="shared" si="6"/>
        <v>8464.6509093081768</v>
      </c>
      <c r="F24" s="2">
        <f t="shared" si="7"/>
        <v>1170670.7449128346</v>
      </c>
    </row>
    <row r="25" spans="1:6" x14ac:dyDescent="0.25">
      <c r="A25" s="1" t="s">
        <v>27</v>
      </c>
      <c r="B25" s="2">
        <f t="shared" si="8"/>
        <v>1170670.7449128346</v>
      </c>
      <c r="C25" s="2">
        <f t="shared" si="9"/>
        <v>1635.7382306499749</v>
      </c>
      <c r="D25" s="2">
        <f t="shared" si="5"/>
        <v>6828.9126786582019</v>
      </c>
      <c r="E25" s="2">
        <f t="shared" si="6"/>
        <v>8464.6509093081768</v>
      </c>
      <c r="F25" s="2">
        <f t="shared" si="7"/>
        <v>1169035.0066821845</v>
      </c>
    </row>
    <row r="26" spans="1:6" x14ac:dyDescent="0.25">
      <c r="A26" s="1" t="s">
        <v>28</v>
      </c>
      <c r="B26" s="2">
        <f t="shared" si="8"/>
        <v>1169035.0066821845</v>
      </c>
      <c r="C26" s="2">
        <f t="shared" si="9"/>
        <v>1645.2800369954339</v>
      </c>
      <c r="D26" s="2">
        <f t="shared" si="5"/>
        <v>6819.3708723127429</v>
      </c>
      <c r="E26" s="2">
        <f t="shared" si="6"/>
        <v>8464.6509093081768</v>
      </c>
      <c r="F26" s="2">
        <f t="shared" si="7"/>
        <v>1167389.7266451891</v>
      </c>
    </row>
    <row r="27" spans="1:6" x14ac:dyDescent="0.25">
      <c r="A27" s="1" t="s">
        <v>29</v>
      </c>
      <c r="B27" s="2">
        <f t="shared" si="8"/>
        <v>1167389.7266451891</v>
      </c>
      <c r="C27" s="2">
        <f t="shared" si="9"/>
        <v>1654.8775038779058</v>
      </c>
      <c r="D27" s="2">
        <f t="shared" si="5"/>
        <v>6809.7734054302709</v>
      </c>
      <c r="E27" s="2">
        <f t="shared" si="6"/>
        <v>8464.6509093081768</v>
      </c>
      <c r="F27" s="3">
        <f t="shared" si="7"/>
        <v>1165734.8491413111</v>
      </c>
    </row>
    <row r="28" spans="1:6" x14ac:dyDescent="0.25">
      <c r="A28" s="4" t="s">
        <v>17</v>
      </c>
      <c r="B28" s="4"/>
      <c r="C28" s="3">
        <f>SUM(C16:C27)</f>
        <v>19237.184235449695</v>
      </c>
      <c r="D28" s="3">
        <f>SUM(D16:D27)</f>
        <v>82338.626676248445</v>
      </c>
      <c r="E28" s="2"/>
      <c r="F28" s="2"/>
    </row>
    <row r="29" spans="1:6" x14ac:dyDescent="0.25">
      <c r="A29" s="1"/>
      <c r="B29" s="1"/>
      <c r="C29" s="2"/>
      <c r="D29" s="2"/>
      <c r="E29" s="2"/>
      <c r="F29" s="2"/>
    </row>
    <row r="30" spans="1:6" x14ac:dyDescent="0.25">
      <c r="A30" s="1" t="s">
        <v>30</v>
      </c>
      <c r="B30" s="2">
        <f>+F27</f>
        <v>1165734.8491413111</v>
      </c>
      <c r="C30" s="2">
        <f t="shared" si="9"/>
        <v>1664.5309559838606</v>
      </c>
      <c r="D30" s="2">
        <f t="shared" ref="D30:D41" si="10">+B30*0.07/12</f>
        <v>6800.1199533243162</v>
      </c>
      <c r="E30" s="2">
        <f t="shared" ref="E30:E41" si="11">$I$4</f>
        <v>8464.6509093081768</v>
      </c>
      <c r="F30" s="2">
        <f t="shared" ref="F30:F41" si="12">+B30-C30</f>
        <v>1164070.3181853273</v>
      </c>
    </row>
    <row r="31" spans="1:6" x14ac:dyDescent="0.25">
      <c r="A31" s="1" t="s">
        <v>31</v>
      </c>
      <c r="B31" s="2">
        <f t="shared" ref="B31:B41" si="13">+F30</f>
        <v>1164070.3181853273</v>
      </c>
      <c r="C31" s="2">
        <f t="shared" si="9"/>
        <v>1674.2407198937663</v>
      </c>
      <c r="D31" s="2">
        <f t="shared" si="10"/>
        <v>6790.4101894144105</v>
      </c>
      <c r="E31" s="2">
        <f t="shared" si="11"/>
        <v>8464.6509093081768</v>
      </c>
      <c r="F31" s="2">
        <f t="shared" si="12"/>
        <v>1162396.0774654336</v>
      </c>
    </row>
    <row r="32" spans="1:6" x14ac:dyDescent="0.25">
      <c r="A32" s="1" t="s">
        <v>32</v>
      </c>
      <c r="B32" s="2">
        <f t="shared" si="13"/>
        <v>1162396.0774654336</v>
      </c>
      <c r="C32" s="2">
        <f t="shared" si="9"/>
        <v>1684.0071240931466</v>
      </c>
      <c r="D32" s="2">
        <f t="shared" si="10"/>
        <v>6780.6437852150302</v>
      </c>
      <c r="E32" s="2">
        <f t="shared" si="11"/>
        <v>8464.6509093081768</v>
      </c>
      <c r="F32" s="2">
        <f t="shared" si="12"/>
        <v>1160712.0703413405</v>
      </c>
    </row>
    <row r="33" spans="1:6" x14ac:dyDescent="0.25">
      <c r="A33" s="1" t="s">
        <v>33</v>
      </c>
      <c r="B33" s="2">
        <f t="shared" si="13"/>
        <v>1160712.0703413405</v>
      </c>
      <c r="C33" s="2">
        <f t="shared" si="9"/>
        <v>1693.8304989836897</v>
      </c>
      <c r="D33" s="2">
        <f t="shared" si="10"/>
        <v>6770.8204103244871</v>
      </c>
      <c r="E33" s="2">
        <f t="shared" si="11"/>
        <v>8464.6509093081768</v>
      </c>
      <c r="F33" s="2">
        <f t="shared" si="12"/>
        <v>1159018.2398423569</v>
      </c>
    </row>
    <row r="34" spans="1:6" x14ac:dyDescent="0.25">
      <c r="A34" s="1" t="s">
        <v>34</v>
      </c>
      <c r="B34" s="2">
        <f t="shared" si="13"/>
        <v>1159018.2398423569</v>
      </c>
      <c r="C34" s="2">
        <f t="shared" si="9"/>
        <v>1703.7111768944278</v>
      </c>
      <c r="D34" s="2">
        <f t="shared" si="10"/>
        <v>6760.939732413749</v>
      </c>
      <c r="E34" s="2">
        <f t="shared" si="11"/>
        <v>8464.6509093081768</v>
      </c>
      <c r="F34" s="2">
        <f t="shared" si="12"/>
        <v>1157314.5286654625</v>
      </c>
    </row>
    <row r="35" spans="1:6" x14ac:dyDescent="0.25">
      <c r="A35" s="1" t="s">
        <v>35</v>
      </c>
      <c r="B35" s="2">
        <f t="shared" si="13"/>
        <v>1157314.5286654625</v>
      </c>
      <c r="C35" s="2">
        <f t="shared" si="9"/>
        <v>1713.649492092979</v>
      </c>
      <c r="D35" s="2">
        <f t="shared" si="10"/>
        <v>6751.0014172151978</v>
      </c>
      <c r="E35" s="2">
        <f t="shared" si="11"/>
        <v>8464.6509093081768</v>
      </c>
      <c r="F35" s="2">
        <f t="shared" si="12"/>
        <v>1155600.8791733696</v>
      </c>
    </row>
    <row r="36" spans="1:6" x14ac:dyDescent="0.25">
      <c r="A36" s="1" t="s">
        <v>36</v>
      </c>
      <c r="B36" s="2">
        <f t="shared" si="13"/>
        <v>1155600.8791733696</v>
      </c>
      <c r="C36" s="2">
        <f t="shared" si="9"/>
        <v>1723.6457807968536</v>
      </c>
      <c r="D36" s="2">
        <f t="shared" si="10"/>
        <v>6741.0051285113232</v>
      </c>
      <c r="E36" s="2">
        <f t="shared" si="11"/>
        <v>8464.6509093081768</v>
      </c>
      <c r="F36" s="2">
        <f t="shared" si="12"/>
        <v>1153877.2333925727</v>
      </c>
    </row>
    <row r="37" spans="1:6" x14ac:dyDescent="0.25">
      <c r="A37" s="1" t="s">
        <v>37</v>
      </c>
      <c r="B37" s="2">
        <f t="shared" si="13"/>
        <v>1153877.2333925727</v>
      </c>
      <c r="C37" s="2">
        <f t="shared" si="9"/>
        <v>1733.7003811848344</v>
      </c>
      <c r="D37" s="2">
        <f t="shared" si="10"/>
        <v>6730.9505281233423</v>
      </c>
      <c r="E37" s="2">
        <f t="shared" si="11"/>
        <v>8464.6509093081768</v>
      </c>
      <c r="F37" s="2">
        <f t="shared" si="12"/>
        <v>1152143.5330113878</v>
      </c>
    </row>
    <row r="38" spans="1:6" x14ac:dyDescent="0.25">
      <c r="A38" s="1" t="s">
        <v>38</v>
      </c>
      <c r="B38" s="2">
        <f t="shared" si="13"/>
        <v>1152143.5330113878</v>
      </c>
      <c r="C38" s="2">
        <f t="shared" si="9"/>
        <v>1743.8136334084147</v>
      </c>
      <c r="D38" s="2">
        <f t="shared" si="10"/>
        <v>6720.8372758997621</v>
      </c>
      <c r="E38" s="2">
        <f t="shared" si="11"/>
        <v>8464.6509093081768</v>
      </c>
      <c r="F38" s="2">
        <f t="shared" si="12"/>
        <v>1150399.7193779794</v>
      </c>
    </row>
    <row r="39" spans="1:6" x14ac:dyDescent="0.25">
      <c r="A39" s="1" t="s">
        <v>39</v>
      </c>
      <c r="B39" s="2">
        <f t="shared" si="13"/>
        <v>1150399.7193779794</v>
      </c>
      <c r="C39" s="2">
        <f t="shared" si="9"/>
        <v>1753.9858796032968</v>
      </c>
      <c r="D39" s="2">
        <f t="shared" si="10"/>
        <v>6710.66502970488</v>
      </c>
      <c r="E39" s="2">
        <f t="shared" si="11"/>
        <v>8464.6509093081768</v>
      </c>
      <c r="F39" s="2">
        <f t="shared" si="12"/>
        <v>1148645.7334983761</v>
      </c>
    </row>
    <row r="40" spans="1:6" x14ac:dyDescent="0.25">
      <c r="A40" s="1" t="s">
        <v>40</v>
      </c>
      <c r="B40" s="2">
        <f t="shared" si="13"/>
        <v>1148645.7334983761</v>
      </c>
      <c r="C40" s="2">
        <f t="shared" si="9"/>
        <v>1764.2174639009827</v>
      </c>
      <c r="D40" s="2">
        <f t="shared" si="10"/>
        <v>6700.4334454071941</v>
      </c>
      <c r="E40" s="2">
        <f t="shared" si="11"/>
        <v>8464.6509093081768</v>
      </c>
      <c r="F40" s="2">
        <f t="shared" si="12"/>
        <v>1146881.5160344751</v>
      </c>
    </row>
    <row r="41" spans="1:6" x14ac:dyDescent="0.25">
      <c r="A41" s="1" t="s">
        <v>41</v>
      </c>
      <c r="B41" s="2">
        <f t="shared" si="13"/>
        <v>1146881.5160344751</v>
      </c>
      <c r="C41" s="2">
        <f t="shared" si="9"/>
        <v>1774.5087324404049</v>
      </c>
      <c r="D41" s="2">
        <f t="shared" si="10"/>
        <v>6690.1421768677719</v>
      </c>
      <c r="E41" s="2">
        <f t="shared" si="11"/>
        <v>8464.6509093081768</v>
      </c>
      <c r="F41" s="3">
        <f t="shared" si="12"/>
        <v>1145107.0073020346</v>
      </c>
    </row>
    <row r="42" spans="1:6" x14ac:dyDescent="0.25">
      <c r="A42" s="4" t="s">
        <v>17</v>
      </c>
      <c r="B42" s="4"/>
      <c r="C42" s="3">
        <f>SUM(C30:C41)</f>
        <v>20627.841839276658</v>
      </c>
      <c r="D42" s="3">
        <f>SUM(D30:D41)</f>
        <v>80947.96907242146</v>
      </c>
      <c r="E42" s="2"/>
      <c r="F42" s="2"/>
    </row>
    <row r="43" spans="1:6" x14ac:dyDescent="0.25">
      <c r="A43" s="1"/>
      <c r="B43" s="1"/>
      <c r="C43" s="2"/>
      <c r="D43" s="2"/>
      <c r="E43" s="2"/>
      <c r="F43" s="2"/>
    </row>
    <row r="44" spans="1:6" x14ac:dyDescent="0.25">
      <c r="A44" s="1" t="s">
        <v>42</v>
      </c>
      <c r="B44" s="2">
        <f>+F41</f>
        <v>1145107.0073020346</v>
      </c>
      <c r="C44" s="2">
        <f>E44-D44</f>
        <v>1784.8600333796412</v>
      </c>
      <c r="D44" s="2">
        <f t="shared" ref="D44:D55" si="14">+B44*0.07/12</f>
        <v>6679.7908759285356</v>
      </c>
      <c r="E44" s="2">
        <f t="shared" ref="E44:E55" si="15">$I$4</f>
        <v>8464.6509093081768</v>
      </c>
      <c r="F44" s="2">
        <f t="shared" ref="F44:F55" si="16">+B44-C44</f>
        <v>1143322.147268655</v>
      </c>
    </row>
    <row r="45" spans="1:6" x14ac:dyDescent="0.25">
      <c r="A45" s="1" t="s">
        <v>43</v>
      </c>
      <c r="B45" s="2">
        <f t="shared" ref="B45:B55" si="17">+F44</f>
        <v>1143322.147268655</v>
      </c>
      <c r="C45" s="2">
        <f t="shared" ref="C45:C55" si="18">E45-D45</f>
        <v>1795.2717169076886</v>
      </c>
      <c r="D45" s="2">
        <f t="shared" si="14"/>
        <v>6669.3791924004881</v>
      </c>
      <c r="E45" s="2">
        <f t="shared" si="15"/>
        <v>8464.6509093081768</v>
      </c>
      <c r="F45" s="2">
        <f t="shared" si="16"/>
        <v>1141526.8755517474</v>
      </c>
    </row>
    <row r="46" spans="1:6" x14ac:dyDescent="0.25">
      <c r="A46" s="1" t="s">
        <v>44</v>
      </c>
      <c r="B46" s="2">
        <f t="shared" si="17"/>
        <v>1141526.8755517474</v>
      </c>
      <c r="C46" s="2">
        <f t="shared" si="18"/>
        <v>1805.7441352563155</v>
      </c>
      <c r="D46" s="2">
        <f t="shared" si="14"/>
        <v>6658.9067740518612</v>
      </c>
      <c r="E46" s="2">
        <f t="shared" si="15"/>
        <v>8464.6509093081768</v>
      </c>
      <c r="F46" s="2">
        <f t="shared" si="16"/>
        <v>1139721.131416491</v>
      </c>
    </row>
    <row r="47" spans="1:6" x14ac:dyDescent="0.25">
      <c r="A47" s="1" t="s">
        <v>45</v>
      </c>
      <c r="B47" s="2">
        <f t="shared" si="17"/>
        <v>1139721.131416491</v>
      </c>
      <c r="C47" s="2">
        <f t="shared" si="18"/>
        <v>1816.2776427119788</v>
      </c>
      <c r="D47" s="2">
        <f t="shared" si="14"/>
        <v>6648.3732665961979</v>
      </c>
      <c r="E47" s="2">
        <f t="shared" si="15"/>
        <v>8464.6509093081768</v>
      </c>
      <c r="F47" s="2">
        <f t="shared" si="16"/>
        <v>1137904.853773779</v>
      </c>
    </row>
    <row r="48" spans="1:6" x14ac:dyDescent="0.25">
      <c r="A48" s="1" t="s">
        <v>46</v>
      </c>
      <c r="B48" s="2">
        <f t="shared" si="17"/>
        <v>1137904.853773779</v>
      </c>
      <c r="C48" s="2">
        <f t="shared" si="18"/>
        <v>1826.8725956277985</v>
      </c>
      <c r="D48" s="2">
        <f t="shared" si="14"/>
        <v>6637.7783136803782</v>
      </c>
      <c r="E48" s="2">
        <f t="shared" si="15"/>
        <v>8464.6509093081768</v>
      </c>
      <c r="F48" s="2">
        <f t="shared" si="16"/>
        <v>1136077.9811781512</v>
      </c>
    </row>
    <row r="49" spans="1:7" x14ac:dyDescent="0.25">
      <c r="A49" s="1" t="s">
        <v>47</v>
      </c>
      <c r="B49" s="2">
        <f t="shared" si="17"/>
        <v>1136077.9811781512</v>
      </c>
      <c r="C49" s="2">
        <f t="shared" si="18"/>
        <v>1837.5293524356275</v>
      </c>
      <c r="D49" s="2">
        <f t="shared" si="14"/>
        <v>6627.1215568725493</v>
      </c>
      <c r="E49" s="2">
        <f t="shared" si="15"/>
        <v>8464.6509093081768</v>
      </c>
      <c r="F49" s="2">
        <f t="shared" si="16"/>
        <v>1134240.4518257156</v>
      </c>
    </row>
    <row r="50" spans="1:7" x14ac:dyDescent="0.25">
      <c r="A50" s="1" t="s">
        <v>48</v>
      </c>
      <c r="B50" s="2">
        <f t="shared" si="17"/>
        <v>1134240.4518257156</v>
      </c>
      <c r="C50" s="2">
        <f t="shared" si="18"/>
        <v>1848.2482736581687</v>
      </c>
      <c r="D50" s="2">
        <f t="shared" si="14"/>
        <v>6616.4026356500081</v>
      </c>
      <c r="E50" s="2">
        <f t="shared" si="15"/>
        <v>8464.6509093081768</v>
      </c>
      <c r="F50" s="2">
        <f t="shared" si="16"/>
        <v>1132392.2035520575</v>
      </c>
    </row>
    <row r="51" spans="1:7" x14ac:dyDescent="0.25">
      <c r="A51" s="1" t="s">
        <v>49</v>
      </c>
      <c r="B51" s="2">
        <f t="shared" si="17"/>
        <v>1132392.2035520575</v>
      </c>
      <c r="C51" s="2">
        <f t="shared" si="18"/>
        <v>1859.0297219211743</v>
      </c>
      <c r="D51" s="2">
        <f t="shared" si="14"/>
        <v>6605.6211873870025</v>
      </c>
      <c r="E51" s="2">
        <f t="shared" si="15"/>
        <v>8464.6509093081768</v>
      </c>
      <c r="F51" s="2">
        <f t="shared" si="16"/>
        <v>1130533.1738301364</v>
      </c>
    </row>
    <row r="52" spans="1:7" x14ac:dyDescent="0.25">
      <c r="A52" s="1" t="s">
        <v>50</v>
      </c>
      <c r="B52" s="2">
        <f t="shared" si="17"/>
        <v>1130533.1738301364</v>
      </c>
      <c r="C52" s="2">
        <f t="shared" si="18"/>
        <v>1869.8740619657137</v>
      </c>
      <c r="D52" s="2">
        <f t="shared" si="14"/>
        <v>6594.776847342463</v>
      </c>
      <c r="E52" s="2">
        <f t="shared" si="15"/>
        <v>8464.6509093081768</v>
      </c>
      <c r="F52" s="2">
        <f t="shared" si="16"/>
        <v>1128663.2997681708</v>
      </c>
    </row>
    <row r="53" spans="1:7" x14ac:dyDescent="0.25">
      <c r="A53" s="1" t="s">
        <v>51</v>
      </c>
      <c r="B53" s="2">
        <f t="shared" si="17"/>
        <v>1128663.2997681708</v>
      </c>
      <c r="C53" s="2">
        <f t="shared" si="18"/>
        <v>1880.7816606605129</v>
      </c>
      <c r="D53" s="2">
        <f t="shared" si="14"/>
        <v>6583.8692486476639</v>
      </c>
      <c r="E53" s="2">
        <f t="shared" si="15"/>
        <v>8464.6509093081768</v>
      </c>
      <c r="F53" s="2">
        <f t="shared" si="16"/>
        <v>1126782.5181075104</v>
      </c>
    </row>
    <row r="54" spans="1:7" x14ac:dyDescent="0.25">
      <c r="A54" s="1" t="s">
        <v>52</v>
      </c>
      <c r="B54" s="2">
        <f t="shared" si="17"/>
        <v>1126782.5181075104</v>
      </c>
      <c r="C54" s="2">
        <f t="shared" si="18"/>
        <v>1891.7528870143651</v>
      </c>
      <c r="D54" s="2">
        <f t="shared" si="14"/>
        <v>6572.8980222938117</v>
      </c>
      <c r="E54" s="2">
        <f t="shared" si="15"/>
        <v>8464.6509093081768</v>
      </c>
      <c r="F54" s="2">
        <f t="shared" si="16"/>
        <v>1124890.7652204961</v>
      </c>
    </row>
    <row r="55" spans="1:7" x14ac:dyDescent="0.25">
      <c r="A55" s="1" t="s">
        <v>53</v>
      </c>
      <c r="B55" s="2">
        <f t="shared" si="17"/>
        <v>1124890.7652204961</v>
      </c>
      <c r="C55" s="2">
        <f t="shared" si="18"/>
        <v>1902.7881121886157</v>
      </c>
      <c r="D55" s="2">
        <f t="shared" si="14"/>
        <v>6561.862797119561</v>
      </c>
      <c r="E55" s="2">
        <f t="shared" si="15"/>
        <v>8464.6509093081768</v>
      </c>
      <c r="F55" s="3">
        <f t="shared" si="16"/>
        <v>1122987.9771083074</v>
      </c>
      <c r="G55" s="2"/>
    </row>
    <row r="56" spans="1:7" x14ac:dyDescent="0.25">
      <c r="A56" s="4" t="s">
        <v>17</v>
      </c>
      <c r="B56" s="5"/>
      <c r="C56" s="3">
        <f>SUM(C44:C55)</f>
        <v>22119.030193727602</v>
      </c>
      <c r="D56" s="3">
        <f>SUM(D44:D55)</f>
        <v>79456.780717970541</v>
      </c>
    </row>
    <row r="57" spans="1:7" ht="15.75" x14ac:dyDescent="0.25">
      <c r="A57" s="21">
        <v>2016</v>
      </c>
    </row>
    <row r="58" spans="1:7" x14ac:dyDescent="0.25">
      <c r="A58" s="1" t="s">
        <v>42</v>
      </c>
      <c r="B58" s="2">
        <f>+F55</f>
        <v>1122987.9771083074</v>
      </c>
      <c r="C58" s="2">
        <f>E58-D58</f>
        <v>1913.8877095097159</v>
      </c>
      <c r="D58" s="2">
        <f t="shared" ref="D58:D69" si="19">+B58*0.07/12</f>
        <v>6550.7631997984608</v>
      </c>
      <c r="E58" s="2">
        <f t="shared" ref="E58:E69" si="20">$I$4</f>
        <v>8464.6509093081768</v>
      </c>
      <c r="F58" s="2">
        <f t="shared" ref="F58:F69" si="21">+B58-C58</f>
        <v>1121074.0893987976</v>
      </c>
    </row>
    <row r="59" spans="1:7" x14ac:dyDescent="0.25">
      <c r="A59" s="1" t="s">
        <v>43</v>
      </c>
      <c r="B59" s="2">
        <f t="shared" ref="B59:B69" si="22">+F58</f>
        <v>1121074.0893987976</v>
      </c>
      <c r="C59" s="2">
        <f t="shared" ref="C59:C69" si="23">E59-D59</f>
        <v>1925.0520544818573</v>
      </c>
      <c r="D59" s="2">
        <f t="shared" si="19"/>
        <v>6539.5988548263194</v>
      </c>
      <c r="E59" s="2">
        <f t="shared" si="20"/>
        <v>8464.6509093081768</v>
      </c>
      <c r="F59" s="2">
        <f t="shared" si="21"/>
        <v>1119149.0373443158</v>
      </c>
    </row>
    <row r="60" spans="1:7" x14ac:dyDescent="0.25">
      <c r="A60" s="1" t="s">
        <v>44</v>
      </c>
      <c r="B60" s="2">
        <f t="shared" si="22"/>
        <v>1119149.0373443158</v>
      </c>
      <c r="C60" s="2">
        <f t="shared" si="23"/>
        <v>1936.2815247996668</v>
      </c>
      <c r="D60" s="2">
        <f t="shared" si="19"/>
        <v>6528.3693845085099</v>
      </c>
      <c r="E60" s="2">
        <f t="shared" si="20"/>
        <v>8464.6509093081768</v>
      </c>
      <c r="F60" s="2">
        <f t="shared" si="21"/>
        <v>1117212.755819516</v>
      </c>
    </row>
    <row r="61" spans="1:7" x14ac:dyDescent="0.25">
      <c r="A61" s="1" t="s">
        <v>45</v>
      </c>
      <c r="B61" s="2">
        <f t="shared" si="22"/>
        <v>1117212.755819516</v>
      </c>
      <c r="C61" s="2">
        <f t="shared" si="23"/>
        <v>1947.5765003609995</v>
      </c>
      <c r="D61" s="2">
        <f t="shared" si="19"/>
        <v>6517.0744089471773</v>
      </c>
      <c r="E61" s="2">
        <f t="shared" si="20"/>
        <v>8464.6509093081768</v>
      </c>
      <c r="F61" s="2">
        <f t="shared" si="21"/>
        <v>1115265.1793191549</v>
      </c>
    </row>
    <row r="62" spans="1:7" x14ac:dyDescent="0.25">
      <c r="A62" s="1" t="s">
        <v>46</v>
      </c>
      <c r="B62" s="2">
        <f t="shared" si="22"/>
        <v>1115265.1793191549</v>
      </c>
      <c r="C62" s="2">
        <f t="shared" si="23"/>
        <v>1958.9373632797724</v>
      </c>
      <c r="D62" s="2">
        <f t="shared" si="19"/>
        <v>6505.7135460284044</v>
      </c>
      <c r="E62" s="2">
        <f t="shared" si="20"/>
        <v>8464.6509093081768</v>
      </c>
      <c r="F62" s="2">
        <f t="shared" si="21"/>
        <v>1113306.2419558752</v>
      </c>
    </row>
    <row r="63" spans="1:7" x14ac:dyDescent="0.25">
      <c r="A63" s="1" t="s">
        <v>47</v>
      </c>
      <c r="B63" s="2">
        <f t="shared" si="22"/>
        <v>1113306.2419558752</v>
      </c>
      <c r="C63" s="2">
        <f t="shared" si="23"/>
        <v>1970.3644978989041</v>
      </c>
      <c r="D63" s="2">
        <f t="shared" si="19"/>
        <v>6494.2864114092727</v>
      </c>
      <c r="E63" s="2">
        <f t="shared" si="20"/>
        <v>8464.6509093081768</v>
      </c>
      <c r="F63" s="2">
        <f t="shared" si="21"/>
        <v>1111335.8774579763</v>
      </c>
    </row>
    <row r="64" spans="1:7" x14ac:dyDescent="0.25">
      <c r="A64" s="1" t="s">
        <v>48</v>
      </c>
      <c r="B64" s="2">
        <f t="shared" si="22"/>
        <v>1111335.8774579763</v>
      </c>
      <c r="C64" s="2">
        <f t="shared" si="23"/>
        <v>1981.858290803314</v>
      </c>
      <c r="D64" s="2">
        <f t="shared" si="19"/>
        <v>6482.7926185048627</v>
      </c>
      <c r="E64" s="2">
        <f t="shared" si="20"/>
        <v>8464.6509093081768</v>
      </c>
      <c r="F64" s="2">
        <f t="shared" si="21"/>
        <v>1109354.019167173</v>
      </c>
    </row>
    <row r="65" spans="1:6" x14ac:dyDescent="0.25">
      <c r="A65" s="1" t="s">
        <v>49</v>
      </c>
      <c r="B65" s="2">
        <f t="shared" si="22"/>
        <v>1109354.019167173</v>
      </c>
      <c r="C65" s="2">
        <f t="shared" si="23"/>
        <v>1993.419130833001</v>
      </c>
      <c r="D65" s="2">
        <f t="shared" si="19"/>
        <v>6471.2317784751758</v>
      </c>
      <c r="E65" s="2">
        <f t="shared" si="20"/>
        <v>8464.6509093081768</v>
      </c>
      <c r="F65" s="2">
        <f t="shared" si="21"/>
        <v>1107360.6000363401</v>
      </c>
    </row>
    <row r="66" spans="1:6" x14ac:dyDescent="0.25">
      <c r="A66" s="1" t="s">
        <v>50</v>
      </c>
      <c r="B66" s="2">
        <f t="shared" si="22"/>
        <v>1107360.6000363401</v>
      </c>
      <c r="C66" s="2">
        <f t="shared" si="23"/>
        <v>2005.0474090961916</v>
      </c>
      <c r="D66" s="2">
        <f t="shared" si="19"/>
        <v>6459.6035002119852</v>
      </c>
      <c r="E66" s="2">
        <f t="shared" si="20"/>
        <v>8464.6509093081768</v>
      </c>
      <c r="F66" s="2">
        <f t="shared" si="21"/>
        <v>1105355.5526272438</v>
      </c>
    </row>
    <row r="67" spans="1:6" x14ac:dyDescent="0.25">
      <c r="A67" s="1" t="s">
        <v>51</v>
      </c>
      <c r="B67" s="2">
        <f t="shared" si="22"/>
        <v>1105355.5526272438</v>
      </c>
      <c r="C67" s="2">
        <f t="shared" si="23"/>
        <v>2016.7435189825874</v>
      </c>
      <c r="D67" s="2">
        <f t="shared" si="19"/>
        <v>6447.9073903255894</v>
      </c>
      <c r="E67" s="2">
        <f t="shared" si="20"/>
        <v>8464.6509093081768</v>
      </c>
      <c r="F67" s="2">
        <f t="shared" si="21"/>
        <v>1103338.8091082613</v>
      </c>
    </row>
    <row r="68" spans="1:6" x14ac:dyDescent="0.25">
      <c r="A68" s="1" t="s">
        <v>52</v>
      </c>
      <c r="B68" s="2">
        <f t="shared" si="22"/>
        <v>1103338.8091082613</v>
      </c>
      <c r="C68" s="2">
        <f t="shared" si="23"/>
        <v>2028.5078561766522</v>
      </c>
      <c r="D68" s="2">
        <f t="shared" si="19"/>
        <v>6436.1430531315245</v>
      </c>
      <c r="E68" s="2">
        <f t="shared" si="20"/>
        <v>8464.6509093081768</v>
      </c>
      <c r="F68" s="2">
        <f t="shared" si="21"/>
        <v>1101310.3012520846</v>
      </c>
    </row>
    <row r="69" spans="1:6" x14ac:dyDescent="0.25">
      <c r="A69" s="1" t="s">
        <v>53</v>
      </c>
      <c r="B69" s="2">
        <f t="shared" si="22"/>
        <v>1101310.3012520846</v>
      </c>
      <c r="C69" s="2">
        <f t="shared" si="23"/>
        <v>2040.3408186710158</v>
      </c>
      <c r="D69" s="2">
        <f t="shared" si="19"/>
        <v>6424.310090637161</v>
      </c>
      <c r="E69" s="2">
        <f t="shared" si="20"/>
        <v>8464.6509093081768</v>
      </c>
      <c r="F69" s="3">
        <f t="shared" si="21"/>
        <v>1099269.9604334135</v>
      </c>
    </row>
    <row r="70" spans="1:6" x14ac:dyDescent="0.25">
      <c r="A70" s="4" t="s">
        <v>17</v>
      </c>
      <c r="B70" s="5"/>
      <c r="C70" s="3">
        <f>SUM(C58:C69)</f>
        <v>23718.016674893675</v>
      </c>
      <c r="D70" s="3">
        <f>SUM(D58:D69)</f>
        <v>77857.794236804431</v>
      </c>
    </row>
    <row r="71" spans="1:6" ht="15.75" x14ac:dyDescent="0.25">
      <c r="A71" s="21">
        <v>2017</v>
      </c>
    </row>
    <row r="72" spans="1:6" x14ac:dyDescent="0.25">
      <c r="A72" s="1" t="s">
        <v>42</v>
      </c>
      <c r="B72" s="2">
        <f>+F69</f>
        <v>1099269.9604334135</v>
      </c>
      <c r="C72" s="2">
        <f>E72-D72</f>
        <v>2052.2428067799301</v>
      </c>
      <c r="D72" s="2">
        <f t="shared" ref="D72:D83" si="24">+B72*0.07/12</f>
        <v>6412.4081025282467</v>
      </c>
      <c r="E72" s="2">
        <f t="shared" ref="E72:E83" si="25">$I$4</f>
        <v>8464.6509093081768</v>
      </c>
      <c r="F72" s="2">
        <f t="shared" ref="F72:F83" si="26">+B72-C72</f>
        <v>1097217.7176266336</v>
      </c>
    </row>
    <row r="73" spans="1:6" x14ac:dyDescent="0.25">
      <c r="A73" s="1" t="s">
        <v>43</v>
      </c>
      <c r="B73" s="2">
        <f t="shared" ref="B73:B83" si="27">+F72</f>
        <v>1097217.7176266336</v>
      </c>
      <c r="C73" s="2">
        <f t="shared" ref="C73:C83" si="28">E73-D73</f>
        <v>2064.2142231528132</v>
      </c>
      <c r="D73" s="2">
        <f t="shared" si="24"/>
        <v>6400.4366861553635</v>
      </c>
      <c r="E73" s="2">
        <f t="shared" si="25"/>
        <v>8464.6509093081768</v>
      </c>
      <c r="F73" s="2">
        <f t="shared" si="26"/>
        <v>1095153.5034034809</v>
      </c>
    </row>
    <row r="74" spans="1:6" x14ac:dyDescent="0.25">
      <c r="A74" s="1" t="s">
        <v>44</v>
      </c>
      <c r="B74" s="2">
        <f t="shared" si="27"/>
        <v>1095153.5034034809</v>
      </c>
      <c r="C74" s="2">
        <f t="shared" si="28"/>
        <v>2076.2554727878705</v>
      </c>
      <c r="D74" s="2">
        <f t="shared" si="24"/>
        <v>6388.3954365203062</v>
      </c>
      <c r="E74" s="2">
        <f t="shared" si="25"/>
        <v>8464.6509093081768</v>
      </c>
      <c r="F74" s="2">
        <f t="shared" si="26"/>
        <v>1093077.247930693</v>
      </c>
    </row>
    <row r="75" spans="1:6" x14ac:dyDescent="0.25">
      <c r="A75" s="1" t="s">
        <v>45</v>
      </c>
      <c r="B75" s="2">
        <f t="shared" si="27"/>
        <v>1093077.247930693</v>
      </c>
      <c r="C75" s="2">
        <f t="shared" si="28"/>
        <v>2088.3669630457998</v>
      </c>
      <c r="D75" s="2">
        <f t="shared" si="24"/>
        <v>6376.283946262377</v>
      </c>
      <c r="E75" s="2">
        <f t="shared" si="25"/>
        <v>8464.6509093081768</v>
      </c>
      <c r="F75" s="2">
        <f t="shared" si="26"/>
        <v>1090988.8809676471</v>
      </c>
    </row>
    <row r="76" spans="1:6" x14ac:dyDescent="0.25">
      <c r="A76" s="1" t="s">
        <v>46</v>
      </c>
      <c r="B76" s="2">
        <f t="shared" si="27"/>
        <v>1090988.8809676471</v>
      </c>
      <c r="C76" s="2">
        <f t="shared" si="28"/>
        <v>2100.5491036635685</v>
      </c>
      <c r="D76" s="2">
        <f t="shared" si="24"/>
        <v>6364.1018056446082</v>
      </c>
      <c r="E76" s="2">
        <f t="shared" si="25"/>
        <v>8464.6509093081768</v>
      </c>
      <c r="F76" s="2">
        <f t="shared" si="26"/>
        <v>1088888.3318639835</v>
      </c>
    </row>
    <row r="77" spans="1:6" x14ac:dyDescent="0.25">
      <c r="A77" s="1" t="s">
        <v>47</v>
      </c>
      <c r="B77" s="2">
        <f t="shared" si="27"/>
        <v>1088888.3318639835</v>
      </c>
      <c r="C77" s="2">
        <f t="shared" si="28"/>
        <v>2112.8023067682725</v>
      </c>
      <c r="D77" s="2">
        <f t="shared" si="24"/>
        <v>6351.8486025399043</v>
      </c>
      <c r="E77" s="2">
        <f t="shared" si="25"/>
        <v>8464.6509093081768</v>
      </c>
      <c r="F77" s="2">
        <f t="shared" si="26"/>
        <v>1086775.5295572153</v>
      </c>
    </row>
    <row r="78" spans="1:6" x14ac:dyDescent="0.25">
      <c r="A78" s="1" t="s">
        <v>48</v>
      </c>
      <c r="B78" s="2">
        <f t="shared" si="27"/>
        <v>1086775.5295572153</v>
      </c>
      <c r="C78" s="2">
        <f t="shared" si="28"/>
        <v>2125.1269868910867</v>
      </c>
      <c r="D78" s="2">
        <f t="shared" si="24"/>
        <v>6339.52392241709</v>
      </c>
      <c r="E78" s="2">
        <f t="shared" si="25"/>
        <v>8464.6509093081768</v>
      </c>
      <c r="F78" s="2">
        <f t="shared" si="26"/>
        <v>1084650.4025703243</v>
      </c>
    </row>
    <row r="79" spans="1:6" x14ac:dyDescent="0.25">
      <c r="A79" s="1" t="s">
        <v>49</v>
      </c>
      <c r="B79" s="2">
        <f t="shared" si="27"/>
        <v>1084650.4025703243</v>
      </c>
      <c r="C79" s="2">
        <f t="shared" si="28"/>
        <v>2137.5235609812844</v>
      </c>
      <c r="D79" s="2">
        <f t="shared" si="24"/>
        <v>6327.1273483268924</v>
      </c>
      <c r="E79" s="2">
        <f t="shared" si="25"/>
        <v>8464.6509093081768</v>
      </c>
      <c r="F79" s="2">
        <f t="shared" si="26"/>
        <v>1082512.879009343</v>
      </c>
    </row>
    <row r="80" spans="1:6" x14ac:dyDescent="0.25">
      <c r="A80" s="1" t="s">
        <v>50</v>
      </c>
      <c r="B80" s="2">
        <f t="shared" si="27"/>
        <v>1082512.879009343</v>
      </c>
      <c r="C80" s="2">
        <f t="shared" si="28"/>
        <v>2149.992448420343</v>
      </c>
      <c r="D80" s="2">
        <f t="shared" si="24"/>
        <v>6314.6584608878338</v>
      </c>
      <c r="E80" s="2">
        <f t="shared" si="25"/>
        <v>8464.6509093081768</v>
      </c>
      <c r="F80" s="2">
        <f t="shared" si="26"/>
        <v>1080362.8865609227</v>
      </c>
    </row>
    <row r="81" spans="1:6" x14ac:dyDescent="0.25">
      <c r="A81" s="1" t="s">
        <v>51</v>
      </c>
      <c r="B81" s="2">
        <f t="shared" si="27"/>
        <v>1080362.8865609227</v>
      </c>
      <c r="C81" s="2">
        <f t="shared" si="28"/>
        <v>2162.534071036127</v>
      </c>
      <c r="D81" s="2">
        <f t="shared" si="24"/>
        <v>6302.1168382720498</v>
      </c>
      <c r="E81" s="2">
        <f t="shared" si="25"/>
        <v>8464.6509093081768</v>
      </c>
      <c r="F81" s="2">
        <f t="shared" si="26"/>
        <v>1078200.3524898866</v>
      </c>
    </row>
    <row r="82" spans="1:6" x14ac:dyDescent="0.25">
      <c r="A82" s="1" t="s">
        <v>52</v>
      </c>
      <c r="B82" s="2">
        <f t="shared" si="27"/>
        <v>1078200.3524898866</v>
      </c>
      <c r="C82" s="2">
        <f t="shared" si="28"/>
        <v>2175.1488531171708</v>
      </c>
      <c r="D82" s="2">
        <f t="shared" si="24"/>
        <v>6289.502056191006</v>
      </c>
      <c r="E82" s="2">
        <f t="shared" si="25"/>
        <v>8464.6509093081768</v>
      </c>
      <c r="F82" s="2">
        <f t="shared" si="26"/>
        <v>1076025.2036367694</v>
      </c>
    </row>
    <row r="83" spans="1:6" x14ac:dyDescent="0.25">
      <c r="A83" s="1" t="s">
        <v>53</v>
      </c>
      <c r="B83" s="2">
        <f t="shared" si="27"/>
        <v>1076025.2036367694</v>
      </c>
      <c r="C83" s="2">
        <f t="shared" si="28"/>
        <v>2187.8372214270212</v>
      </c>
      <c r="D83" s="2">
        <f t="shared" si="24"/>
        <v>6276.8136878811556</v>
      </c>
      <c r="E83" s="2">
        <f t="shared" si="25"/>
        <v>8464.6509093081768</v>
      </c>
      <c r="F83" s="3">
        <f t="shared" si="26"/>
        <v>1073837.3664153423</v>
      </c>
    </row>
    <row r="84" spans="1:6" x14ac:dyDescent="0.25">
      <c r="A84" s="4" t="s">
        <v>17</v>
      </c>
      <c r="B84" s="5"/>
      <c r="C84" s="3">
        <f>SUM(C72:C83)</f>
        <v>25432.594018071286</v>
      </c>
      <c r="D84" s="3">
        <f>SUM(D72:D83)</f>
        <v>76143.216893626828</v>
      </c>
    </row>
    <row r="85" spans="1:6" ht="15.75" x14ac:dyDescent="0.25">
      <c r="A85" s="21">
        <v>2018</v>
      </c>
    </row>
    <row r="86" spans="1:6" x14ac:dyDescent="0.25">
      <c r="A86" s="1" t="s">
        <v>42</v>
      </c>
      <c r="B86" s="2">
        <f>+F83</f>
        <v>1073837.3664153423</v>
      </c>
      <c r="C86" s="2">
        <f>E86-D86</f>
        <v>2200.5996052186792</v>
      </c>
      <c r="D86" s="2">
        <f t="shared" ref="D86:D97" si="29">+B86*0.07/12</f>
        <v>6264.0513040894975</v>
      </c>
      <c r="E86" s="2">
        <f t="shared" ref="E86:E97" si="30">$I$4</f>
        <v>8464.6509093081768</v>
      </c>
      <c r="F86" s="2">
        <f t="shared" ref="F86:F97" si="31">+B86-C86</f>
        <v>1071636.7668101236</v>
      </c>
    </row>
    <row r="87" spans="1:6" x14ac:dyDescent="0.25">
      <c r="A87" s="1" t="s">
        <v>43</v>
      </c>
      <c r="B87" s="2">
        <f t="shared" ref="B87:B97" si="32">+F86</f>
        <v>1071636.7668101236</v>
      </c>
      <c r="C87" s="2">
        <f t="shared" ref="C87:C97" si="33">E87-D87</f>
        <v>2213.4364362491215</v>
      </c>
      <c r="D87" s="2">
        <f t="shared" si="29"/>
        <v>6251.2144730590553</v>
      </c>
      <c r="E87" s="2">
        <f t="shared" si="30"/>
        <v>8464.6509093081768</v>
      </c>
      <c r="F87" s="2">
        <f t="shared" si="31"/>
        <v>1069423.3303738744</v>
      </c>
    </row>
    <row r="88" spans="1:6" x14ac:dyDescent="0.25">
      <c r="A88" s="1" t="s">
        <v>44</v>
      </c>
      <c r="B88" s="2">
        <f t="shared" si="32"/>
        <v>1069423.3303738744</v>
      </c>
      <c r="C88" s="2">
        <f t="shared" si="33"/>
        <v>2226.3481487939089</v>
      </c>
      <c r="D88" s="2">
        <f t="shared" si="29"/>
        <v>6238.3027605142679</v>
      </c>
      <c r="E88" s="2">
        <f t="shared" si="30"/>
        <v>8464.6509093081768</v>
      </c>
      <c r="F88" s="2">
        <f t="shared" si="31"/>
        <v>1067196.9822250805</v>
      </c>
    </row>
    <row r="89" spans="1:6" x14ac:dyDescent="0.25">
      <c r="A89" s="1" t="s">
        <v>45</v>
      </c>
      <c r="B89" s="2">
        <f t="shared" si="32"/>
        <v>1067196.9822250805</v>
      </c>
      <c r="C89" s="2">
        <f t="shared" si="33"/>
        <v>2239.3351796618736</v>
      </c>
      <c r="D89" s="2">
        <f t="shared" si="29"/>
        <v>6225.3157296463032</v>
      </c>
      <c r="E89" s="2">
        <f t="shared" si="30"/>
        <v>8464.6509093081768</v>
      </c>
      <c r="F89" s="2">
        <f t="shared" si="31"/>
        <v>1064957.6470454186</v>
      </c>
    </row>
    <row r="90" spans="1:6" x14ac:dyDescent="0.25">
      <c r="A90" s="1" t="s">
        <v>46</v>
      </c>
      <c r="B90" s="2">
        <f t="shared" si="32"/>
        <v>1064957.6470454186</v>
      </c>
      <c r="C90" s="2">
        <f t="shared" si="33"/>
        <v>2252.3979682099007</v>
      </c>
      <c r="D90" s="2">
        <f t="shared" si="29"/>
        <v>6212.2529410982761</v>
      </c>
      <c r="E90" s="2">
        <f t="shared" si="30"/>
        <v>8464.6509093081768</v>
      </c>
      <c r="F90" s="2">
        <f t="shared" si="31"/>
        <v>1062705.2490772088</v>
      </c>
    </row>
    <row r="91" spans="1:6" x14ac:dyDescent="0.25">
      <c r="A91" s="1" t="s">
        <v>47</v>
      </c>
      <c r="B91" s="2">
        <f t="shared" si="32"/>
        <v>1062705.2490772088</v>
      </c>
      <c r="C91" s="2">
        <f t="shared" si="33"/>
        <v>2265.5369563577915</v>
      </c>
      <c r="D91" s="2">
        <f t="shared" si="29"/>
        <v>6199.1139529503853</v>
      </c>
      <c r="E91" s="2">
        <f t="shared" si="30"/>
        <v>8464.6509093081768</v>
      </c>
      <c r="F91" s="2">
        <f t="shared" si="31"/>
        <v>1060439.712120851</v>
      </c>
    </row>
    <row r="92" spans="1:6" x14ac:dyDescent="0.25">
      <c r="A92" s="1" t="s">
        <v>48</v>
      </c>
      <c r="B92" s="2">
        <f t="shared" si="32"/>
        <v>1060439.712120851</v>
      </c>
      <c r="C92" s="2">
        <f t="shared" si="33"/>
        <v>2278.7525886032117</v>
      </c>
      <c r="D92" s="2">
        <f t="shared" si="29"/>
        <v>6185.898320704965</v>
      </c>
      <c r="E92" s="2">
        <f t="shared" si="30"/>
        <v>8464.6509093081768</v>
      </c>
      <c r="F92" s="2">
        <f t="shared" si="31"/>
        <v>1058160.9595322479</v>
      </c>
    </row>
    <row r="93" spans="1:6" x14ac:dyDescent="0.25">
      <c r="A93" s="1" t="s">
        <v>49</v>
      </c>
      <c r="B93" s="2">
        <f t="shared" si="32"/>
        <v>1058160.9595322479</v>
      </c>
      <c r="C93" s="2">
        <f t="shared" si="33"/>
        <v>2292.0453120367301</v>
      </c>
      <c r="D93" s="2">
        <f t="shared" si="29"/>
        <v>6172.6055972714466</v>
      </c>
      <c r="E93" s="2">
        <f t="shared" si="30"/>
        <v>8464.6509093081768</v>
      </c>
      <c r="F93" s="2">
        <f t="shared" si="31"/>
        <v>1055868.9142202111</v>
      </c>
    </row>
    <row r="94" spans="1:6" x14ac:dyDescent="0.25">
      <c r="A94" s="1" t="s">
        <v>50</v>
      </c>
      <c r="B94" s="2">
        <f t="shared" si="32"/>
        <v>1055868.9142202111</v>
      </c>
      <c r="C94" s="2">
        <f t="shared" si="33"/>
        <v>2305.4155763569443</v>
      </c>
      <c r="D94" s="2">
        <f t="shared" si="29"/>
        <v>6159.2353329512325</v>
      </c>
      <c r="E94" s="2">
        <f t="shared" si="30"/>
        <v>8464.6509093081768</v>
      </c>
      <c r="F94" s="2">
        <f t="shared" si="31"/>
        <v>1053563.4986438542</v>
      </c>
    </row>
    <row r="95" spans="1:6" x14ac:dyDescent="0.25">
      <c r="A95" s="1" t="s">
        <v>51</v>
      </c>
      <c r="B95" s="2">
        <f t="shared" si="32"/>
        <v>1053563.4986438542</v>
      </c>
      <c r="C95" s="2">
        <f t="shared" si="33"/>
        <v>2318.8638338856936</v>
      </c>
      <c r="D95" s="2">
        <f t="shared" si="29"/>
        <v>6145.7870754224832</v>
      </c>
      <c r="E95" s="2">
        <f t="shared" si="30"/>
        <v>8464.6509093081768</v>
      </c>
      <c r="F95" s="2">
        <f t="shared" si="31"/>
        <v>1051244.6348099685</v>
      </c>
    </row>
    <row r="96" spans="1:6" x14ac:dyDescent="0.25">
      <c r="A96" s="1" t="s">
        <v>52</v>
      </c>
      <c r="B96" s="2">
        <f t="shared" si="32"/>
        <v>1051244.6348099685</v>
      </c>
      <c r="C96" s="2">
        <f t="shared" si="33"/>
        <v>2332.3905395833599</v>
      </c>
      <c r="D96" s="2">
        <f t="shared" si="29"/>
        <v>6132.2603697248169</v>
      </c>
      <c r="E96" s="2">
        <f t="shared" si="30"/>
        <v>8464.6509093081768</v>
      </c>
      <c r="F96" s="2">
        <f t="shared" si="31"/>
        <v>1048912.2442703852</v>
      </c>
    </row>
    <row r="97" spans="1:6" x14ac:dyDescent="0.25">
      <c r="A97" s="1" t="s">
        <v>53</v>
      </c>
      <c r="B97" s="2">
        <f t="shared" si="32"/>
        <v>1048912.2442703852</v>
      </c>
      <c r="C97" s="2">
        <f t="shared" si="33"/>
        <v>2345.9961510642615</v>
      </c>
      <c r="D97" s="2">
        <f t="shared" si="29"/>
        <v>6118.6547582439152</v>
      </c>
      <c r="E97" s="2">
        <f t="shared" si="30"/>
        <v>8464.6509093081768</v>
      </c>
      <c r="F97" s="3">
        <f t="shared" si="31"/>
        <v>1046566.248119321</v>
      </c>
    </row>
    <row r="98" spans="1:6" x14ac:dyDescent="0.25">
      <c r="A98" s="4" t="s">
        <v>17</v>
      </c>
      <c r="B98" s="5"/>
      <c r="C98" s="3">
        <f>SUM(C86:C97)</f>
        <v>27271.118296021479</v>
      </c>
      <c r="D98" s="3">
        <f>SUM(D86:D97)</f>
        <v>74304.692615676642</v>
      </c>
    </row>
    <row r="99" spans="1:6" ht="15.75" x14ac:dyDescent="0.25">
      <c r="A99" s="21">
        <v>2019</v>
      </c>
    </row>
    <row r="100" spans="1:6" x14ac:dyDescent="0.25">
      <c r="A100" s="1" t="s">
        <v>42</v>
      </c>
      <c r="B100" s="2">
        <f>+F97</f>
        <v>1046566.248119321</v>
      </c>
      <c r="C100" s="2">
        <f>E100-D100</f>
        <v>2359.6811286121374</v>
      </c>
      <c r="D100" s="2">
        <f t="shared" ref="D100:D111" si="34">+B100*0.07/12</f>
        <v>6104.9697806960394</v>
      </c>
      <c r="E100" s="2">
        <f t="shared" ref="E100:E111" si="35">$I$4</f>
        <v>8464.6509093081768</v>
      </c>
      <c r="F100" s="2">
        <f t="shared" ref="F100:F111" si="36">+B100-C100</f>
        <v>1044206.5669907088</v>
      </c>
    </row>
    <row r="101" spans="1:6" x14ac:dyDescent="0.25">
      <c r="A101" s="1" t="s">
        <v>43</v>
      </c>
      <c r="B101" s="2">
        <f t="shared" ref="B101:B111" si="37">+F100</f>
        <v>1044206.5669907088</v>
      </c>
      <c r="C101" s="2">
        <f t="shared" ref="C101:C111" si="38">E101-D101</f>
        <v>2373.4459351957084</v>
      </c>
      <c r="D101" s="2">
        <f t="shared" si="34"/>
        <v>6091.2049741124683</v>
      </c>
      <c r="E101" s="2">
        <f t="shared" si="35"/>
        <v>8464.6509093081768</v>
      </c>
      <c r="F101" s="2">
        <f t="shared" si="36"/>
        <v>1041833.1210555132</v>
      </c>
    </row>
    <row r="102" spans="1:6" x14ac:dyDescent="0.25">
      <c r="A102" s="1" t="s">
        <v>44</v>
      </c>
      <c r="B102" s="2">
        <f t="shared" si="37"/>
        <v>1041833.1210555132</v>
      </c>
      <c r="C102" s="2">
        <f t="shared" si="38"/>
        <v>2387.2910364843492</v>
      </c>
      <c r="D102" s="2">
        <f t="shared" si="34"/>
        <v>6077.3598728238276</v>
      </c>
      <c r="E102" s="2">
        <f t="shared" si="35"/>
        <v>8464.6509093081768</v>
      </c>
      <c r="F102" s="2">
        <f t="shared" si="36"/>
        <v>1039445.8300190289</v>
      </c>
    </row>
    <row r="103" spans="1:6" x14ac:dyDescent="0.25">
      <c r="A103" s="1" t="s">
        <v>45</v>
      </c>
      <c r="B103" s="2">
        <f t="shared" si="37"/>
        <v>1039445.8300190289</v>
      </c>
      <c r="C103" s="2">
        <f t="shared" si="38"/>
        <v>2401.2169008638411</v>
      </c>
      <c r="D103" s="2">
        <f t="shared" si="34"/>
        <v>6063.4340084443356</v>
      </c>
      <c r="E103" s="2">
        <f t="shared" si="35"/>
        <v>8464.6509093081768</v>
      </c>
      <c r="F103" s="2">
        <f t="shared" si="36"/>
        <v>1037044.6131181651</v>
      </c>
    </row>
    <row r="104" spans="1:6" x14ac:dyDescent="0.25">
      <c r="A104" s="1" t="s">
        <v>46</v>
      </c>
      <c r="B104" s="2">
        <f t="shared" si="37"/>
        <v>1037044.6131181651</v>
      </c>
      <c r="C104" s="2">
        <f t="shared" si="38"/>
        <v>2415.2239994522133</v>
      </c>
      <c r="D104" s="2">
        <f t="shared" si="34"/>
        <v>6049.4269098559635</v>
      </c>
      <c r="E104" s="2">
        <f t="shared" si="35"/>
        <v>8464.6509093081768</v>
      </c>
      <c r="F104" s="2">
        <f t="shared" si="36"/>
        <v>1034629.3891187129</v>
      </c>
    </row>
    <row r="105" spans="1:6" x14ac:dyDescent="0.25">
      <c r="A105" s="1" t="s">
        <v>47</v>
      </c>
      <c r="B105" s="2">
        <f t="shared" si="37"/>
        <v>1034629.3891187129</v>
      </c>
      <c r="C105" s="2">
        <f t="shared" si="38"/>
        <v>2429.3128061156849</v>
      </c>
      <c r="D105" s="2">
        <f t="shared" si="34"/>
        <v>6035.3381031924919</v>
      </c>
      <c r="E105" s="2">
        <f t="shared" si="35"/>
        <v>8464.6509093081768</v>
      </c>
      <c r="F105" s="2">
        <f t="shared" si="36"/>
        <v>1032200.0763125971</v>
      </c>
    </row>
    <row r="106" spans="1:6" x14ac:dyDescent="0.25">
      <c r="A106" s="1" t="s">
        <v>48</v>
      </c>
      <c r="B106" s="2">
        <f t="shared" si="37"/>
        <v>1032200.0763125971</v>
      </c>
      <c r="C106" s="2">
        <f t="shared" si="38"/>
        <v>2443.4837974846923</v>
      </c>
      <c r="D106" s="2">
        <f t="shared" si="34"/>
        <v>6021.1671118234844</v>
      </c>
      <c r="E106" s="2">
        <f t="shared" si="35"/>
        <v>8464.6509093081768</v>
      </c>
      <c r="F106" s="2">
        <f t="shared" si="36"/>
        <v>1029756.5925151125</v>
      </c>
    </row>
    <row r="107" spans="1:6" x14ac:dyDescent="0.25">
      <c r="A107" s="1" t="s">
        <v>49</v>
      </c>
      <c r="B107" s="2">
        <f t="shared" si="37"/>
        <v>1029756.5925151125</v>
      </c>
      <c r="C107" s="2">
        <f t="shared" si="38"/>
        <v>2457.7374529700201</v>
      </c>
      <c r="D107" s="2">
        <f t="shared" si="34"/>
        <v>6006.9134563381567</v>
      </c>
      <c r="E107" s="2">
        <f t="shared" si="35"/>
        <v>8464.6509093081768</v>
      </c>
      <c r="F107" s="2">
        <f t="shared" si="36"/>
        <v>1027298.8550621425</v>
      </c>
    </row>
    <row r="108" spans="1:6" x14ac:dyDescent="0.25">
      <c r="A108" s="1" t="s">
        <v>50</v>
      </c>
      <c r="B108" s="2">
        <f t="shared" si="37"/>
        <v>1027298.8550621425</v>
      </c>
      <c r="C108" s="2">
        <f t="shared" si="38"/>
        <v>2472.0742547790114</v>
      </c>
      <c r="D108" s="2">
        <f t="shared" si="34"/>
        <v>5992.5766545291654</v>
      </c>
      <c r="E108" s="2">
        <f t="shared" si="35"/>
        <v>8464.6509093081768</v>
      </c>
      <c r="F108" s="2">
        <f t="shared" si="36"/>
        <v>1024826.7808073635</v>
      </c>
    </row>
    <row r="109" spans="1:6" x14ac:dyDescent="0.25">
      <c r="A109" s="1" t="s">
        <v>51</v>
      </c>
      <c r="B109" s="2">
        <f t="shared" si="37"/>
        <v>1024826.7808073635</v>
      </c>
      <c r="C109" s="2">
        <f t="shared" si="38"/>
        <v>2486.4946879318895</v>
      </c>
      <c r="D109" s="2">
        <f t="shared" si="34"/>
        <v>5978.1562213762872</v>
      </c>
      <c r="E109" s="2">
        <f t="shared" si="35"/>
        <v>8464.6509093081768</v>
      </c>
      <c r="F109" s="2">
        <f t="shared" si="36"/>
        <v>1022340.2861194316</v>
      </c>
    </row>
    <row r="110" spans="1:6" x14ac:dyDescent="0.25">
      <c r="A110" s="1" t="s">
        <v>52</v>
      </c>
      <c r="B110" s="2">
        <f t="shared" si="37"/>
        <v>1022340.2861194316</v>
      </c>
      <c r="C110" s="2">
        <f t="shared" si="38"/>
        <v>2500.9992402781581</v>
      </c>
      <c r="D110" s="2">
        <f t="shared" si="34"/>
        <v>5963.6516690300186</v>
      </c>
      <c r="E110" s="2">
        <f t="shared" si="35"/>
        <v>8464.6509093081768</v>
      </c>
      <c r="F110" s="2">
        <f t="shared" si="36"/>
        <v>1019839.2868791535</v>
      </c>
    </row>
    <row r="111" spans="1:6" x14ac:dyDescent="0.25">
      <c r="A111" s="1" t="s">
        <v>53</v>
      </c>
      <c r="B111" s="2">
        <f t="shared" si="37"/>
        <v>1019839.2868791535</v>
      </c>
      <c r="C111" s="2">
        <f t="shared" si="38"/>
        <v>2515.5884025131136</v>
      </c>
      <c r="D111" s="2">
        <f t="shared" si="34"/>
        <v>5949.0625067950632</v>
      </c>
      <c r="E111" s="2">
        <f t="shared" si="35"/>
        <v>8464.6509093081768</v>
      </c>
      <c r="F111" s="3">
        <f t="shared" si="36"/>
        <v>1017323.6984766404</v>
      </c>
    </row>
    <row r="112" spans="1:6" x14ac:dyDescent="0.25">
      <c r="A112" s="4" t="s">
        <v>17</v>
      </c>
      <c r="B112" s="5"/>
      <c r="C112" s="3">
        <f>SUM(C100:C111)</f>
        <v>29242.549642680817</v>
      </c>
      <c r="D112" s="3">
        <f>SUM(D100:D111)</f>
        <v>72333.261269017297</v>
      </c>
    </row>
    <row r="113" spans="1:6" ht="15.75" x14ac:dyDescent="0.25">
      <c r="A113" s="21">
        <v>2020</v>
      </c>
    </row>
    <row r="114" spans="1:6" x14ac:dyDescent="0.25">
      <c r="A114" s="1" t="s">
        <v>42</v>
      </c>
      <c r="B114" s="2">
        <f>+F111</f>
        <v>1017323.6984766404</v>
      </c>
      <c r="C114" s="2">
        <f>E114-D114</f>
        <v>2530.2626681944412</v>
      </c>
      <c r="D114" s="2">
        <f t="shared" ref="D114:D125" si="39">+B114*0.07/12</f>
        <v>5934.3882411137356</v>
      </c>
      <c r="E114" s="2">
        <f t="shared" ref="E114:E125" si="40">$I$4</f>
        <v>8464.6509093081768</v>
      </c>
      <c r="F114" s="2">
        <f t="shared" ref="F114:F125" si="41">+B114-C114</f>
        <v>1014793.4358084459</v>
      </c>
    </row>
    <row r="115" spans="1:6" x14ac:dyDescent="0.25">
      <c r="A115" s="1" t="s">
        <v>43</v>
      </c>
      <c r="B115" s="2">
        <f t="shared" ref="B115:B125" si="42">+F114</f>
        <v>1014793.4358084459</v>
      </c>
      <c r="C115" s="2">
        <f t="shared" ref="C115:C125" si="43">E115-D115</f>
        <v>2545.0225337589081</v>
      </c>
      <c r="D115" s="2">
        <f t="shared" si="39"/>
        <v>5919.6283755492686</v>
      </c>
      <c r="E115" s="2">
        <f t="shared" si="40"/>
        <v>8464.6509093081768</v>
      </c>
      <c r="F115" s="2">
        <f t="shared" si="41"/>
        <v>1012248.413274687</v>
      </c>
    </row>
    <row r="116" spans="1:6" x14ac:dyDescent="0.25">
      <c r="A116" s="1" t="s">
        <v>44</v>
      </c>
      <c r="B116" s="2">
        <f t="shared" si="42"/>
        <v>1012248.413274687</v>
      </c>
      <c r="C116" s="2">
        <f t="shared" si="43"/>
        <v>2559.8684985391692</v>
      </c>
      <c r="D116" s="2">
        <f t="shared" si="39"/>
        <v>5904.7824107690076</v>
      </c>
      <c r="E116" s="2">
        <f t="shared" si="40"/>
        <v>8464.6509093081768</v>
      </c>
      <c r="F116" s="2">
        <f t="shared" si="41"/>
        <v>1009688.5447761478</v>
      </c>
    </row>
    <row r="117" spans="1:6" x14ac:dyDescent="0.25">
      <c r="A117" s="1" t="s">
        <v>45</v>
      </c>
      <c r="B117" s="2">
        <f t="shared" si="42"/>
        <v>1009688.5447761478</v>
      </c>
      <c r="C117" s="2">
        <f t="shared" si="43"/>
        <v>2574.8010647806477</v>
      </c>
      <c r="D117" s="2">
        <f t="shared" si="39"/>
        <v>5889.8498445275291</v>
      </c>
      <c r="E117" s="2">
        <f t="shared" si="40"/>
        <v>8464.6509093081768</v>
      </c>
      <c r="F117" s="2">
        <f t="shared" si="41"/>
        <v>1007113.7437113671</v>
      </c>
    </row>
    <row r="118" spans="1:6" x14ac:dyDescent="0.25">
      <c r="A118" s="1" t="s">
        <v>46</v>
      </c>
      <c r="B118" s="2">
        <f t="shared" si="42"/>
        <v>1007113.7437113671</v>
      </c>
      <c r="C118" s="2">
        <f t="shared" si="43"/>
        <v>2589.8207376585342</v>
      </c>
      <c r="D118" s="2">
        <f t="shared" si="39"/>
        <v>5874.8301716496426</v>
      </c>
      <c r="E118" s="2">
        <f t="shared" si="40"/>
        <v>8464.6509093081768</v>
      </c>
      <c r="F118" s="2">
        <f t="shared" si="41"/>
        <v>1004523.9229737086</v>
      </c>
    </row>
    <row r="119" spans="1:6" x14ac:dyDescent="0.25">
      <c r="A119" s="1" t="s">
        <v>47</v>
      </c>
      <c r="B119" s="2">
        <f t="shared" si="42"/>
        <v>1004523.9229737086</v>
      </c>
      <c r="C119" s="2">
        <f t="shared" si="43"/>
        <v>2604.9280252948765</v>
      </c>
      <c r="D119" s="2">
        <f t="shared" si="39"/>
        <v>5859.7228840133002</v>
      </c>
      <c r="E119" s="2">
        <f t="shared" si="40"/>
        <v>8464.6509093081768</v>
      </c>
      <c r="F119" s="2">
        <f t="shared" si="41"/>
        <v>1001918.9949484137</v>
      </c>
    </row>
    <row r="120" spans="1:6" x14ac:dyDescent="0.25">
      <c r="A120" s="1" t="s">
        <v>48</v>
      </c>
      <c r="B120" s="2">
        <f t="shared" si="42"/>
        <v>1001918.9949484137</v>
      </c>
      <c r="C120" s="2">
        <f t="shared" si="43"/>
        <v>2620.1234387757622</v>
      </c>
      <c r="D120" s="2">
        <f t="shared" si="39"/>
        <v>5844.5274705324146</v>
      </c>
      <c r="E120" s="2">
        <f t="shared" si="40"/>
        <v>8464.6509093081768</v>
      </c>
      <c r="F120" s="2">
        <f t="shared" si="41"/>
        <v>999298.87150963792</v>
      </c>
    </row>
    <row r="121" spans="1:6" x14ac:dyDescent="0.25">
      <c r="A121" s="1" t="s">
        <v>49</v>
      </c>
      <c r="B121" s="2">
        <f t="shared" si="42"/>
        <v>999298.87150963792</v>
      </c>
      <c r="C121" s="2">
        <f t="shared" si="43"/>
        <v>2635.4074921686215</v>
      </c>
      <c r="D121" s="2">
        <f t="shared" si="39"/>
        <v>5829.2434171395553</v>
      </c>
      <c r="E121" s="2">
        <f t="shared" si="40"/>
        <v>8464.6509093081768</v>
      </c>
      <c r="F121" s="2">
        <f t="shared" si="41"/>
        <v>996663.46401746932</v>
      </c>
    </row>
    <row r="122" spans="1:6" x14ac:dyDescent="0.25">
      <c r="A122" s="1" t="s">
        <v>50</v>
      </c>
      <c r="B122" s="2">
        <f t="shared" si="42"/>
        <v>996663.46401746932</v>
      </c>
      <c r="C122" s="2">
        <f t="shared" si="43"/>
        <v>2650.780702539606</v>
      </c>
      <c r="D122" s="2">
        <f t="shared" si="39"/>
        <v>5813.8702067685708</v>
      </c>
      <c r="E122" s="2">
        <f t="shared" si="40"/>
        <v>8464.6509093081768</v>
      </c>
      <c r="F122" s="2">
        <f t="shared" si="41"/>
        <v>994012.68331492972</v>
      </c>
    </row>
    <row r="123" spans="1:6" x14ac:dyDescent="0.25">
      <c r="A123" s="1" t="s">
        <v>51</v>
      </c>
      <c r="B123" s="2">
        <f t="shared" si="42"/>
        <v>994012.68331492972</v>
      </c>
      <c r="C123" s="2">
        <f t="shared" si="43"/>
        <v>2666.2435899710863</v>
      </c>
      <c r="D123" s="2">
        <f t="shared" si="39"/>
        <v>5798.4073193370905</v>
      </c>
      <c r="E123" s="2">
        <f t="shared" si="40"/>
        <v>8464.6509093081768</v>
      </c>
      <c r="F123" s="2">
        <f t="shared" si="41"/>
        <v>991346.43972495862</v>
      </c>
    </row>
    <row r="124" spans="1:6" x14ac:dyDescent="0.25">
      <c r="A124" s="1" t="s">
        <v>52</v>
      </c>
      <c r="B124" s="2">
        <f t="shared" si="42"/>
        <v>991346.43972495862</v>
      </c>
      <c r="C124" s="2">
        <f t="shared" si="43"/>
        <v>2681.7966775792511</v>
      </c>
      <c r="D124" s="2">
        <f t="shared" si="39"/>
        <v>5782.8542317289257</v>
      </c>
      <c r="E124" s="2">
        <f t="shared" si="40"/>
        <v>8464.6509093081768</v>
      </c>
      <c r="F124" s="2">
        <f t="shared" si="41"/>
        <v>988664.64304737933</v>
      </c>
    </row>
    <row r="125" spans="1:6" x14ac:dyDescent="0.25">
      <c r="A125" s="1" t="s">
        <v>53</v>
      </c>
      <c r="B125" s="2">
        <f t="shared" si="42"/>
        <v>988664.64304737933</v>
      </c>
      <c r="C125" s="2">
        <f t="shared" si="43"/>
        <v>2697.4404915317973</v>
      </c>
      <c r="D125" s="2">
        <f t="shared" si="39"/>
        <v>5767.2104177763795</v>
      </c>
      <c r="E125" s="2">
        <f t="shared" si="40"/>
        <v>8464.6509093081768</v>
      </c>
      <c r="F125" s="3">
        <f t="shared" si="41"/>
        <v>985967.20255584759</v>
      </c>
    </row>
    <row r="126" spans="1:6" x14ac:dyDescent="0.25">
      <c r="A126" s="4" t="s">
        <v>17</v>
      </c>
      <c r="B126" s="5"/>
      <c r="C126" s="3">
        <f>SUM(C114:C125)</f>
        <v>31356.495920792706</v>
      </c>
      <c r="D126" s="3">
        <f>SUM(D114:D125)</f>
        <v>70219.314990905419</v>
      </c>
    </row>
    <row r="127" spans="1:6" ht="15.75" x14ac:dyDescent="0.25">
      <c r="A127" s="21">
        <v>2021</v>
      </c>
    </row>
    <row r="128" spans="1:6" x14ac:dyDescent="0.25">
      <c r="A128" s="1" t="s">
        <v>42</v>
      </c>
      <c r="B128" s="2">
        <f>+F125</f>
        <v>985967.20255584759</v>
      </c>
      <c r="C128" s="2">
        <f>E128-D128</f>
        <v>2713.1755610657319</v>
      </c>
      <c r="D128" s="2">
        <f t="shared" ref="D128:D139" si="44">+B128*0.07/12</f>
        <v>5751.4753482424449</v>
      </c>
      <c r="E128" s="2">
        <f t="shared" ref="E128:E139" si="45">$I$4</f>
        <v>8464.6509093081768</v>
      </c>
      <c r="F128" s="2">
        <f t="shared" ref="F128:F139" si="46">+B128-C128</f>
        <v>983254.0269947818</v>
      </c>
    </row>
    <row r="129" spans="1:6" x14ac:dyDescent="0.25">
      <c r="A129" s="1" t="s">
        <v>43</v>
      </c>
      <c r="B129" s="2">
        <f t="shared" ref="B129:B139" si="47">+F128</f>
        <v>983254.0269947818</v>
      </c>
      <c r="C129" s="2">
        <f t="shared" ref="C129:C139" si="48">E129-D129</f>
        <v>2729.0024185052825</v>
      </c>
      <c r="D129" s="2">
        <f t="shared" si="44"/>
        <v>5735.6484908028942</v>
      </c>
      <c r="E129" s="2">
        <f t="shared" si="45"/>
        <v>8464.6509093081768</v>
      </c>
      <c r="F129" s="2">
        <f t="shared" si="46"/>
        <v>980525.02457627654</v>
      </c>
    </row>
    <row r="130" spans="1:6" x14ac:dyDescent="0.25">
      <c r="A130" s="1" t="s">
        <v>44</v>
      </c>
      <c r="B130" s="2">
        <f t="shared" si="47"/>
        <v>980525.02457627654</v>
      </c>
      <c r="C130" s="2">
        <f t="shared" si="48"/>
        <v>2744.9215992798963</v>
      </c>
      <c r="D130" s="2">
        <f t="shared" si="44"/>
        <v>5719.7293100282805</v>
      </c>
      <c r="E130" s="2">
        <f t="shared" si="45"/>
        <v>8464.6509093081768</v>
      </c>
      <c r="F130" s="2">
        <f t="shared" si="46"/>
        <v>977780.10297699668</v>
      </c>
    </row>
    <row r="131" spans="1:6" x14ac:dyDescent="0.25">
      <c r="A131" s="1" t="s">
        <v>45</v>
      </c>
      <c r="B131" s="2">
        <f t="shared" si="47"/>
        <v>977780.10297699668</v>
      </c>
      <c r="C131" s="2">
        <f t="shared" si="48"/>
        <v>2760.9336419423626</v>
      </c>
      <c r="D131" s="2">
        <f t="shared" si="44"/>
        <v>5703.7172673658142</v>
      </c>
      <c r="E131" s="2">
        <f t="shared" si="45"/>
        <v>8464.6509093081768</v>
      </c>
      <c r="F131" s="2">
        <f t="shared" si="46"/>
        <v>975019.16933505435</v>
      </c>
    </row>
    <row r="132" spans="1:6" x14ac:dyDescent="0.25">
      <c r="A132" s="1" t="s">
        <v>46</v>
      </c>
      <c r="B132" s="2">
        <f t="shared" si="47"/>
        <v>975019.16933505435</v>
      </c>
      <c r="C132" s="2">
        <f t="shared" si="48"/>
        <v>2777.0390881870262</v>
      </c>
      <c r="D132" s="2">
        <f t="shared" si="44"/>
        <v>5687.6118211211506</v>
      </c>
      <c r="E132" s="2">
        <f t="shared" si="45"/>
        <v>8464.6509093081768</v>
      </c>
      <c r="F132" s="2">
        <f t="shared" si="46"/>
        <v>972242.13024686731</v>
      </c>
    </row>
    <row r="133" spans="1:6" x14ac:dyDescent="0.25">
      <c r="A133" s="1" t="s">
        <v>47</v>
      </c>
      <c r="B133" s="2">
        <f t="shared" si="47"/>
        <v>972242.13024686731</v>
      </c>
      <c r="C133" s="2">
        <f t="shared" si="48"/>
        <v>2793.238482868117</v>
      </c>
      <c r="D133" s="2">
        <f t="shared" si="44"/>
        <v>5671.4124264400598</v>
      </c>
      <c r="E133" s="2">
        <f t="shared" si="45"/>
        <v>8464.6509093081768</v>
      </c>
      <c r="F133" s="2">
        <f t="shared" si="46"/>
        <v>969448.89176399924</v>
      </c>
    </row>
    <row r="134" spans="1:6" x14ac:dyDescent="0.25">
      <c r="A134" s="1" t="s">
        <v>48</v>
      </c>
      <c r="B134" s="2">
        <f t="shared" si="47"/>
        <v>969448.89176399924</v>
      </c>
      <c r="C134" s="2">
        <f t="shared" si="48"/>
        <v>2809.5323740181811</v>
      </c>
      <c r="D134" s="2">
        <f t="shared" si="44"/>
        <v>5655.1185352899956</v>
      </c>
      <c r="E134" s="2">
        <f t="shared" si="45"/>
        <v>8464.6509093081768</v>
      </c>
      <c r="F134" s="2">
        <f t="shared" si="46"/>
        <v>966639.35938998102</v>
      </c>
    </row>
    <row r="135" spans="1:6" x14ac:dyDescent="0.25">
      <c r="A135" s="1" t="s">
        <v>49</v>
      </c>
      <c r="B135" s="2">
        <f t="shared" si="47"/>
        <v>966639.35938998102</v>
      </c>
      <c r="C135" s="2">
        <f t="shared" si="48"/>
        <v>2825.9213128666197</v>
      </c>
      <c r="D135" s="2">
        <f t="shared" si="44"/>
        <v>5638.7295964415571</v>
      </c>
      <c r="E135" s="2">
        <f t="shared" si="45"/>
        <v>8464.6509093081768</v>
      </c>
      <c r="F135" s="2">
        <f t="shared" si="46"/>
        <v>963813.43807711441</v>
      </c>
    </row>
    <row r="136" spans="1:6" x14ac:dyDescent="0.25">
      <c r="A136" s="1" t="s">
        <v>50</v>
      </c>
      <c r="B136" s="2">
        <f t="shared" si="47"/>
        <v>963813.43807711441</v>
      </c>
      <c r="C136" s="2">
        <f t="shared" si="48"/>
        <v>2842.4058538583422</v>
      </c>
      <c r="D136" s="2">
        <f t="shared" si="44"/>
        <v>5622.2450554498346</v>
      </c>
      <c r="E136" s="2">
        <f t="shared" si="45"/>
        <v>8464.6509093081768</v>
      </c>
      <c r="F136" s="2">
        <f t="shared" si="46"/>
        <v>960971.03222325607</v>
      </c>
    </row>
    <row r="137" spans="1:6" x14ac:dyDescent="0.25">
      <c r="A137" s="1" t="s">
        <v>51</v>
      </c>
      <c r="B137" s="2">
        <f t="shared" si="47"/>
        <v>960971.03222325607</v>
      </c>
      <c r="C137" s="2">
        <f t="shared" si="48"/>
        <v>2858.9865546725159</v>
      </c>
      <c r="D137" s="2">
        <f t="shared" si="44"/>
        <v>5605.6643546356609</v>
      </c>
      <c r="E137" s="2">
        <f t="shared" si="45"/>
        <v>8464.6509093081768</v>
      </c>
      <c r="F137" s="2">
        <f t="shared" si="46"/>
        <v>958112.0456685836</v>
      </c>
    </row>
    <row r="138" spans="1:6" x14ac:dyDescent="0.25">
      <c r="A138" s="1" t="s">
        <v>52</v>
      </c>
      <c r="B138" s="2">
        <f t="shared" si="47"/>
        <v>958112.0456685836</v>
      </c>
      <c r="C138" s="2">
        <f t="shared" si="48"/>
        <v>2875.6639762414388</v>
      </c>
      <c r="D138" s="2">
        <f t="shared" si="44"/>
        <v>5588.9869330667379</v>
      </c>
      <c r="E138" s="2">
        <f t="shared" si="45"/>
        <v>8464.6509093081768</v>
      </c>
      <c r="F138" s="2">
        <f t="shared" si="46"/>
        <v>955236.38169234211</v>
      </c>
    </row>
    <row r="139" spans="1:6" x14ac:dyDescent="0.25">
      <c r="A139" s="1" t="s">
        <v>53</v>
      </c>
      <c r="B139" s="2">
        <f t="shared" si="47"/>
        <v>955236.38169234211</v>
      </c>
      <c r="C139" s="2">
        <f t="shared" si="48"/>
        <v>2892.4386827695134</v>
      </c>
      <c r="D139" s="2">
        <f t="shared" si="44"/>
        <v>5572.2122265386633</v>
      </c>
      <c r="E139" s="2">
        <f t="shared" si="45"/>
        <v>8464.6509093081768</v>
      </c>
      <c r="F139" s="3">
        <f t="shared" si="46"/>
        <v>952343.94300957257</v>
      </c>
    </row>
    <row r="140" spans="1:6" x14ac:dyDescent="0.25">
      <c r="A140" s="4" t="s">
        <v>17</v>
      </c>
      <c r="B140" s="5"/>
      <c r="C140" s="3">
        <f>SUM(C128:C139)</f>
        <v>33623.259546275025</v>
      </c>
      <c r="D140" s="3">
        <f>SUM(D128:D139)</f>
        <v>67952.551365423089</v>
      </c>
    </row>
    <row r="141" spans="1:6" ht="15.75" x14ac:dyDescent="0.25">
      <c r="A141" s="21">
        <v>2022</v>
      </c>
    </row>
    <row r="142" spans="1:6" x14ac:dyDescent="0.25">
      <c r="A142" s="1" t="s">
        <v>42</v>
      </c>
      <c r="B142" s="2">
        <f>+F139</f>
        <v>952343.94300957257</v>
      </c>
      <c r="C142" s="2">
        <f>E142-D142</f>
        <v>2909.3112417523362</v>
      </c>
      <c r="D142" s="2">
        <f t="shared" ref="D142:D153" si="49">+B142*0.07/12</f>
        <v>5555.3396675558406</v>
      </c>
      <c r="E142" s="2">
        <f t="shared" ref="E142:E153" si="50">$I$4</f>
        <v>8464.6509093081768</v>
      </c>
      <c r="F142" s="2">
        <f t="shared" ref="F142:F153" si="51">+B142-C142</f>
        <v>949434.63176782022</v>
      </c>
    </row>
    <row r="143" spans="1:6" x14ac:dyDescent="0.25">
      <c r="A143" s="1" t="s">
        <v>43</v>
      </c>
      <c r="B143" s="2">
        <f t="shared" ref="B143:B153" si="52">+F142</f>
        <v>949434.63176782022</v>
      </c>
      <c r="C143" s="2">
        <f t="shared" ref="C143:C153" si="53">E143-D143</f>
        <v>2926.2822239958914</v>
      </c>
      <c r="D143" s="2">
        <f t="shared" si="49"/>
        <v>5538.3686853122854</v>
      </c>
      <c r="E143" s="2">
        <f t="shared" si="50"/>
        <v>8464.6509093081768</v>
      </c>
      <c r="F143" s="2">
        <f t="shared" si="51"/>
        <v>946508.34954382433</v>
      </c>
    </row>
    <row r="144" spans="1:6" x14ac:dyDescent="0.25">
      <c r="A144" s="1" t="s">
        <v>44</v>
      </c>
      <c r="B144" s="2">
        <f t="shared" si="52"/>
        <v>946508.34954382433</v>
      </c>
      <c r="C144" s="2">
        <f t="shared" si="53"/>
        <v>2943.3522036358672</v>
      </c>
      <c r="D144" s="2">
        <f t="shared" si="49"/>
        <v>5521.2987056723096</v>
      </c>
      <c r="E144" s="2">
        <f t="shared" si="50"/>
        <v>8464.6509093081768</v>
      </c>
      <c r="F144" s="2">
        <f t="shared" si="51"/>
        <v>943564.99734018848</v>
      </c>
    </row>
    <row r="145" spans="1:6" x14ac:dyDescent="0.25">
      <c r="A145" s="1" t="s">
        <v>45</v>
      </c>
      <c r="B145" s="2">
        <f t="shared" si="52"/>
        <v>943564.99734018848</v>
      </c>
      <c r="C145" s="2">
        <f t="shared" si="53"/>
        <v>2960.5217581570769</v>
      </c>
      <c r="D145" s="2">
        <f t="shared" si="49"/>
        <v>5504.1291511510999</v>
      </c>
      <c r="E145" s="2">
        <f t="shared" si="50"/>
        <v>8464.6509093081768</v>
      </c>
      <c r="F145" s="2">
        <f t="shared" si="51"/>
        <v>940604.47558203142</v>
      </c>
    </row>
    <row r="146" spans="1:6" x14ac:dyDescent="0.25">
      <c r="A146" s="1" t="s">
        <v>46</v>
      </c>
      <c r="B146" s="2">
        <f t="shared" si="52"/>
        <v>940604.47558203142</v>
      </c>
      <c r="C146" s="2">
        <f t="shared" si="53"/>
        <v>2977.7914684129928</v>
      </c>
      <c r="D146" s="2">
        <f t="shared" si="49"/>
        <v>5486.859440895184</v>
      </c>
      <c r="E146" s="2">
        <f t="shared" si="50"/>
        <v>8464.6509093081768</v>
      </c>
      <c r="F146" s="2">
        <f t="shared" si="51"/>
        <v>937626.68411361845</v>
      </c>
    </row>
    <row r="147" spans="1:6" x14ac:dyDescent="0.25">
      <c r="A147" s="1" t="s">
        <v>47</v>
      </c>
      <c r="B147" s="2">
        <f t="shared" si="52"/>
        <v>937626.68411361845</v>
      </c>
      <c r="C147" s="2">
        <f t="shared" si="53"/>
        <v>2995.1619186454018</v>
      </c>
      <c r="D147" s="2">
        <f t="shared" si="49"/>
        <v>5469.488990662775</v>
      </c>
      <c r="E147" s="2">
        <f t="shared" si="50"/>
        <v>8464.6509093081768</v>
      </c>
      <c r="F147" s="2">
        <f t="shared" si="51"/>
        <v>934631.52219497308</v>
      </c>
    </row>
    <row r="148" spans="1:6" x14ac:dyDescent="0.25">
      <c r="A148" s="1" t="s">
        <v>48</v>
      </c>
      <c r="B148" s="2">
        <f t="shared" si="52"/>
        <v>934631.52219497308</v>
      </c>
      <c r="C148" s="2">
        <f t="shared" si="53"/>
        <v>3012.6336965041664</v>
      </c>
      <c r="D148" s="2">
        <f t="shared" si="49"/>
        <v>5452.0172128040103</v>
      </c>
      <c r="E148" s="2">
        <f t="shared" si="50"/>
        <v>8464.6509093081768</v>
      </c>
      <c r="F148" s="2">
        <f t="shared" si="51"/>
        <v>931618.88849846891</v>
      </c>
    </row>
    <row r="149" spans="1:6" x14ac:dyDescent="0.25">
      <c r="A149" s="1" t="s">
        <v>49</v>
      </c>
      <c r="B149" s="2">
        <f t="shared" si="52"/>
        <v>931618.88849846891</v>
      </c>
      <c r="C149" s="2">
        <f t="shared" si="53"/>
        <v>3030.2073930671077</v>
      </c>
      <c r="D149" s="2">
        <f t="shared" si="49"/>
        <v>5434.4435162410691</v>
      </c>
      <c r="E149" s="2">
        <f t="shared" si="50"/>
        <v>8464.6509093081768</v>
      </c>
      <c r="F149" s="2">
        <f t="shared" si="51"/>
        <v>928588.68110540183</v>
      </c>
    </row>
    <row r="150" spans="1:6" x14ac:dyDescent="0.25">
      <c r="A150" s="1" t="s">
        <v>50</v>
      </c>
      <c r="B150" s="2">
        <f t="shared" si="52"/>
        <v>928588.68110540183</v>
      </c>
      <c r="C150" s="2">
        <f t="shared" si="53"/>
        <v>3047.883602859999</v>
      </c>
      <c r="D150" s="2">
        <f t="shared" si="49"/>
        <v>5416.7673064481778</v>
      </c>
      <c r="E150" s="2">
        <f t="shared" si="50"/>
        <v>8464.6509093081768</v>
      </c>
      <c r="F150" s="2">
        <f t="shared" si="51"/>
        <v>925540.7975025418</v>
      </c>
    </row>
    <row r="151" spans="1:6" x14ac:dyDescent="0.25">
      <c r="A151" s="1" t="s">
        <v>51</v>
      </c>
      <c r="B151" s="2">
        <f t="shared" si="52"/>
        <v>925540.7975025418</v>
      </c>
      <c r="C151" s="2">
        <f t="shared" si="53"/>
        <v>3065.6629238766827</v>
      </c>
      <c r="D151" s="2">
        <f t="shared" si="49"/>
        <v>5398.9879854314941</v>
      </c>
      <c r="E151" s="2">
        <f t="shared" si="50"/>
        <v>8464.6509093081768</v>
      </c>
      <c r="F151" s="2">
        <f t="shared" si="51"/>
        <v>922475.13457866514</v>
      </c>
    </row>
    <row r="152" spans="1:6" x14ac:dyDescent="0.25">
      <c r="A152" s="1" t="s">
        <v>52</v>
      </c>
      <c r="B152" s="2">
        <f t="shared" si="52"/>
        <v>922475.13457866514</v>
      </c>
      <c r="C152" s="2">
        <f t="shared" si="53"/>
        <v>3083.5459575992963</v>
      </c>
      <c r="D152" s="2">
        <f t="shared" si="49"/>
        <v>5381.1049517088804</v>
      </c>
      <c r="E152" s="2">
        <f t="shared" si="50"/>
        <v>8464.6509093081768</v>
      </c>
      <c r="F152" s="2">
        <f t="shared" si="51"/>
        <v>919391.58862106584</v>
      </c>
    </row>
    <row r="153" spans="1:6" x14ac:dyDescent="0.25">
      <c r="A153" s="1" t="s">
        <v>53</v>
      </c>
      <c r="B153" s="2">
        <f t="shared" si="52"/>
        <v>919391.58862106584</v>
      </c>
      <c r="C153" s="2">
        <f t="shared" si="53"/>
        <v>3101.5333090186259</v>
      </c>
      <c r="D153" s="2">
        <f t="shared" si="49"/>
        <v>5363.1176002895509</v>
      </c>
      <c r="E153" s="2">
        <f t="shared" si="50"/>
        <v>8464.6509093081768</v>
      </c>
      <c r="F153" s="3">
        <f t="shared" si="51"/>
        <v>916290.05531204725</v>
      </c>
    </row>
    <row r="154" spans="1:6" x14ac:dyDescent="0.25">
      <c r="A154" s="4" t="s">
        <v>17</v>
      </c>
      <c r="B154" s="5"/>
      <c r="C154" s="3">
        <f>SUM(C142:C153)</f>
        <v>36053.887697525439</v>
      </c>
      <c r="D154" s="3">
        <f>SUM(D142:D153)</f>
        <v>65521.923214172682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4" workbookViewId="0">
      <selection activeCell="C59" sqref="C59"/>
    </sheetView>
  </sheetViews>
  <sheetFormatPr defaultRowHeight="15" x14ac:dyDescent="0.25"/>
  <cols>
    <col min="1" max="1" width="27.42578125" bestFit="1" customWidth="1"/>
    <col min="2" max="2" width="25.5703125" bestFit="1" customWidth="1"/>
  </cols>
  <sheetData>
    <row r="1" spans="1:3" x14ac:dyDescent="0.25">
      <c r="A1" s="54"/>
      <c r="B1" s="55" t="s">
        <v>188</v>
      </c>
    </row>
    <row r="2" spans="1:3" x14ac:dyDescent="0.25">
      <c r="A2" s="54">
        <f>C24+C41+C58</f>
        <v>31.093209451796149</v>
      </c>
      <c r="B2" s="56">
        <f>A2/3</f>
        <v>10.364403150598717</v>
      </c>
      <c r="C2" t="s">
        <v>205</v>
      </c>
    </row>
    <row r="3" spans="1:3" x14ac:dyDescent="0.25">
      <c r="A3" s="54"/>
      <c r="B3" s="57"/>
    </row>
    <row r="4" spans="1:3" x14ac:dyDescent="0.25">
      <c r="B4" s="54" t="s">
        <v>156</v>
      </c>
    </row>
    <row r="5" spans="1:3" x14ac:dyDescent="0.25">
      <c r="A5" t="s">
        <v>189</v>
      </c>
      <c r="B5">
        <v>1.3</v>
      </c>
    </row>
    <row r="6" spans="1:3" x14ac:dyDescent="0.25">
      <c r="A6" t="s">
        <v>190</v>
      </c>
      <c r="B6">
        <v>1.91</v>
      </c>
    </row>
    <row r="7" spans="1:3" x14ac:dyDescent="0.25">
      <c r="A7" t="s">
        <v>191</v>
      </c>
      <c r="B7">
        <v>1.26</v>
      </c>
    </row>
    <row r="8" spans="1:3" x14ac:dyDescent="0.25">
      <c r="A8" s="54"/>
      <c r="B8" s="57"/>
    </row>
    <row r="9" spans="1:3" x14ac:dyDescent="0.25">
      <c r="A9" s="59" t="s">
        <v>192</v>
      </c>
      <c r="B9" s="59"/>
      <c r="C9" s="59"/>
    </row>
    <row r="10" spans="1:3" x14ac:dyDescent="0.25">
      <c r="A10" s="54"/>
      <c r="B10" s="57"/>
    </row>
    <row r="11" spans="1:3" x14ac:dyDescent="0.25">
      <c r="A11" s="59" t="s">
        <v>193</v>
      </c>
      <c r="B11" s="59"/>
      <c r="C11" s="59"/>
    </row>
    <row r="12" spans="1:3" x14ac:dyDescent="0.25">
      <c r="A12" t="s">
        <v>194</v>
      </c>
    </row>
    <row r="14" spans="1:3" x14ac:dyDescent="0.25">
      <c r="A14" t="s">
        <v>195</v>
      </c>
    </row>
    <row r="15" spans="1:3" x14ac:dyDescent="0.25">
      <c r="B15" t="s">
        <v>196</v>
      </c>
      <c r="C15">
        <f>B6</f>
        <v>1.91</v>
      </c>
    </row>
    <row r="16" spans="1:3" x14ac:dyDescent="0.25">
      <c r="B16" t="s">
        <v>197</v>
      </c>
      <c r="C16">
        <v>0.4828040278853602</v>
      </c>
    </row>
    <row r="17" spans="1:3" x14ac:dyDescent="0.25">
      <c r="B17" t="s">
        <v>198</v>
      </c>
      <c r="C17">
        <v>0.51719597211463986</v>
      </c>
    </row>
    <row r="19" spans="1:3" x14ac:dyDescent="0.25">
      <c r="B19" t="s">
        <v>199</v>
      </c>
      <c r="C19">
        <f>C15/(1+(1-Answer!$C$49)*(C16/C17))</f>
        <v>1.0934264451189191</v>
      </c>
    </row>
    <row r="21" spans="1:3" x14ac:dyDescent="0.25">
      <c r="B21" t="s">
        <v>200</v>
      </c>
      <c r="C21">
        <v>0.91</v>
      </c>
    </row>
    <row r="22" spans="1:3" x14ac:dyDescent="0.25">
      <c r="B22" t="s">
        <v>201</v>
      </c>
      <c r="C22">
        <v>0.09</v>
      </c>
    </row>
    <row r="24" spans="1:3" x14ac:dyDescent="0.25">
      <c r="A24" t="s">
        <v>202</v>
      </c>
      <c r="C24">
        <f>C19*(1+(1-Answer!$C$49)*(C21/C22))</f>
        <v>9.9380314678586217</v>
      </c>
    </row>
    <row r="28" spans="1:3" x14ac:dyDescent="0.25">
      <c r="A28" s="59" t="s">
        <v>203</v>
      </c>
      <c r="B28" s="59"/>
      <c r="C28" s="59"/>
    </row>
    <row r="29" spans="1:3" x14ac:dyDescent="0.25">
      <c r="A29" t="s">
        <v>194</v>
      </c>
    </row>
    <row r="31" spans="1:3" x14ac:dyDescent="0.25">
      <c r="A31" t="s">
        <v>195</v>
      </c>
    </row>
    <row r="32" spans="1:3" x14ac:dyDescent="0.25">
      <c r="B32" t="s">
        <v>196</v>
      </c>
      <c r="C32">
        <f>B7</f>
        <v>1.26</v>
      </c>
    </row>
    <row r="33" spans="1:3" x14ac:dyDescent="0.25">
      <c r="B33" t="s">
        <v>197</v>
      </c>
      <c r="C33">
        <v>0.20218579234972678</v>
      </c>
    </row>
    <row r="34" spans="1:3" x14ac:dyDescent="0.25">
      <c r="B34" t="s">
        <v>198</v>
      </c>
      <c r="C34">
        <v>0.79781420765027322</v>
      </c>
    </row>
    <row r="36" spans="1:3" x14ac:dyDescent="0.25">
      <c r="B36" t="s">
        <v>199</v>
      </c>
      <c r="C36">
        <f>C32/(1+(1-Answer!$C$49)*(C33/C34))</f>
        <v>1.0476082004555809</v>
      </c>
    </row>
    <row r="38" spans="1:3" x14ac:dyDescent="0.25">
      <c r="B38" t="s">
        <v>200</v>
      </c>
      <c r="C38">
        <v>0.91</v>
      </c>
    </row>
    <row r="39" spans="1:3" x14ac:dyDescent="0.25">
      <c r="B39" t="s">
        <v>201</v>
      </c>
      <c r="C39">
        <v>0.09</v>
      </c>
    </row>
    <row r="41" spans="1:3" x14ac:dyDescent="0.25">
      <c r="A41" t="s">
        <v>202</v>
      </c>
      <c r="C41">
        <f>C36*(1+(1-Answer!$C$49)*(C38/C39))</f>
        <v>9.5215945330296154</v>
      </c>
    </row>
    <row r="45" spans="1:3" x14ac:dyDescent="0.25">
      <c r="A45" s="59" t="s">
        <v>204</v>
      </c>
      <c r="B45" s="59"/>
      <c r="C45" s="59"/>
    </row>
    <row r="46" spans="1:3" x14ac:dyDescent="0.25">
      <c r="A46" t="s">
        <v>194</v>
      </c>
    </row>
    <row r="48" spans="1:3" x14ac:dyDescent="0.25">
      <c r="A48" t="s">
        <v>195</v>
      </c>
    </row>
    <row r="49" spans="1:3" x14ac:dyDescent="0.25">
      <c r="B49" t="s">
        <v>196</v>
      </c>
      <c r="C49">
        <f>B5</f>
        <v>1.3</v>
      </c>
    </row>
    <row r="50" spans="1:3" x14ac:dyDescent="0.25">
      <c r="B50" t="s">
        <v>197</v>
      </c>
      <c r="C50">
        <v>1.9177489177489178</v>
      </c>
    </row>
    <row r="51" spans="1:3" x14ac:dyDescent="0.25">
      <c r="B51" t="s">
        <v>198</v>
      </c>
      <c r="C51">
        <f>100-C50</f>
        <v>98.082251082251076</v>
      </c>
    </row>
    <row r="53" spans="1:3" x14ac:dyDescent="0.25">
      <c r="B53" t="s">
        <v>199</v>
      </c>
      <c r="C53">
        <f>C49/(1+(1-Answer!$C$49)*(C50/C51))</f>
        <v>1.2799786192930462</v>
      </c>
    </row>
    <row r="55" spans="1:3" x14ac:dyDescent="0.25">
      <c r="B55" t="s">
        <v>200</v>
      </c>
      <c r="C55">
        <v>0.91</v>
      </c>
    </row>
    <row r="56" spans="1:3" x14ac:dyDescent="0.25">
      <c r="B56" t="s">
        <v>201</v>
      </c>
      <c r="C56">
        <v>0.09</v>
      </c>
    </row>
    <row r="58" spans="1:3" x14ac:dyDescent="0.25">
      <c r="A58" t="s">
        <v>202</v>
      </c>
      <c r="C58">
        <f>C53*(1+(1-Answer!$C$49)*(C55/C56))</f>
        <v>11.633583450907912</v>
      </c>
    </row>
  </sheetData>
  <mergeCells count="4">
    <mergeCell ref="A9:C9"/>
    <mergeCell ref="A11:C11"/>
    <mergeCell ref="A28:C28"/>
    <mergeCell ref="A45:C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</vt:lpstr>
      <vt:lpstr>Mortgage</vt:lpstr>
      <vt:lpstr>Beta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2013-12-19T19:12:01Z</dcterms:created>
  <dcterms:modified xsi:type="dcterms:W3CDTF">2013-12-19T19:12:25Z</dcterms:modified>
</cp:coreProperties>
</file>