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1610" yWindow="285" windowWidth="12435" windowHeight="9240"/>
  </bookViews>
  <sheets>
    <sheet name="C&amp;R-RE Group" sheetId="2" r:id="rId1"/>
    <sheet name="Note Table" sheetId="3" r:id="rId2"/>
    <sheet name="Depreciation Schedule" sheetId="6" r:id="rId3"/>
    <sheet name="Sheet1" sheetId="7" r:id="rId4"/>
  </sheets>
  <calcPr calcId="145621" iterateDelta="1E-4"/>
</workbook>
</file>

<file path=xl/calcChain.xml><?xml version="1.0" encoding="utf-8"?>
<calcChain xmlns="http://schemas.openxmlformats.org/spreadsheetml/2006/main">
  <c r="J244" i="2" l="1"/>
  <c r="K244" i="2" s="1"/>
  <c r="L244" i="2" s="1"/>
  <c r="M244" i="2" s="1"/>
  <c r="G242" i="2" s="1"/>
  <c r="J233" i="2" s="1"/>
  <c r="J234" i="2" s="1"/>
  <c r="G243" i="2" s="1"/>
  <c r="B227" i="2"/>
  <c r="B234" i="2" s="1"/>
  <c r="B211" i="2"/>
  <c r="C218" i="2"/>
  <c r="I141" i="2"/>
  <c r="G136" i="2" s="1"/>
  <c r="D12" i="7"/>
  <c r="D13" i="7"/>
  <c r="D14" i="7"/>
  <c r="D11" i="7"/>
  <c r="D5" i="7"/>
  <c r="D6" i="7"/>
  <c r="D4" i="7"/>
  <c r="E140" i="2"/>
  <c r="E139" i="2"/>
  <c r="D15" i="7" l="1"/>
  <c r="D7" i="7"/>
  <c r="I47" i="2" l="1"/>
  <c r="B156" i="2"/>
  <c r="B162" i="2"/>
  <c r="E27" i="2"/>
  <c r="F27" i="2" s="1"/>
  <c r="B28" i="2"/>
  <c r="B32" i="2" l="1"/>
  <c r="B33" i="2" s="1"/>
  <c r="J3" i="3" s="1"/>
  <c r="C241" i="2"/>
  <c r="C246" i="2" s="1"/>
  <c r="B31" i="6"/>
  <c r="B46" i="2"/>
  <c r="E45" i="2" s="1"/>
  <c r="F45" i="2" s="1"/>
  <c r="G45" i="2" s="1"/>
  <c r="H45" i="2" s="1"/>
  <c r="D94" i="2"/>
  <c r="C162" i="2" s="1"/>
  <c r="G27" i="2"/>
  <c r="E94" i="2"/>
  <c r="I5" i="2"/>
  <c r="I4" i="2"/>
  <c r="I46" i="2"/>
  <c r="I20" i="2"/>
  <c r="I18" i="2"/>
  <c r="E23" i="2"/>
  <c r="E20" i="2"/>
  <c r="E21" i="2" s="1"/>
  <c r="D101" i="2" s="1"/>
  <c r="E18" i="2"/>
  <c r="E17" i="2"/>
  <c r="B29" i="2"/>
  <c r="B182" i="2"/>
  <c r="B183" i="2"/>
  <c r="B169" i="2"/>
  <c r="B155" i="2"/>
  <c r="B154" i="2"/>
  <c r="B160" i="2"/>
  <c r="I36" i="2"/>
  <c r="B145" i="2"/>
  <c r="C145" i="2"/>
  <c r="A191" i="2"/>
  <c r="A190" i="2"/>
  <c r="A189" i="2"/>
  <c r="A188" i="2"/>
  <c r="A187" i="2"/>
  <c r="A186" i="2"/>
  <c r="A185" i="2"/>
  <c r="A184" i="2"/>
  <c r="A183" i="2"/>
  <c r="A182" i="2"/>
  <c r="C137" i="2"/>
  <c r="C156" i="2" l="1"/>
  <c r="D212" i="2"/>
  <c r="D228" i="2" s="1"/>
  <c r="H27" i="2"/>
  <c r="G94" i="2" s="1"/>
  <c r="F94" i="2"/>
  <c r="G16" i="6" l="1"/>
  <c r="G17" i="6" s="1"/>
  <c r="G18" i="6" s="1"/>
  <c r="G19" i="6" s="1"/>
  <c r="G22" i="6" s="1"/>
  <c r="G23" i="6" s="1"/>
  <c r="G24" i="6" s="1"/>
  <c r="G25" i="6" s="1"/>
  <c r="G12" i="6"/>
  <c r="G13" i="6" s="1"/>
  <c r="G11" i="6"/>
  <c r="G4" i="6"/>
  <c r="G5" i="6" s="1"/>
  <c r="G6" i="6" s="1"/>
  <c r="G7" i="6" s="1"/>
  <c r="G32" i="6"/>
  <c r="G33" i="6" s="1"/>
  <c r="M33" i="6" s="1"/>
  <c r="M34" i="6" s="1"/>
  <c r="E4" i="2"/>
  <c r="E5" i="2"/>
  <c r="F17" i="2"/>
  <c r="G17" i="2" s="1"/>
  <c r="H17" i="2" s="1"/>
  <c r="I51" i="2"/>
  <c r="I48" i="2"/>
  <c r="I32" i="2"/>
  <c r="I29" i="2"/>
  <c r="I24" i="2"/>
  <c r="I23" i="2"/>
  <c r="I17" i="2"/>
  <c r="I10" i="2"/>
  <c r="I13" i="2"/>
  <c r="I12" i="2"/>
  <c r="I8" i="2"/>
  <c r="I7" i="2"/>
  <c r="I3" i="2"/>
  <c r="D5" i="2"/>
  <c r="D4" i="2"/>
  <c r="B34" i="2"/>
  <c r="I34" i="2" s="1"/>
  <c r="J6" i="3"/>
  <c r="J16" i="3"/>
  <c r="J5" i="3" s="1"/>
  <c r="J14" i="3"/>
  <c r="D78" i="2"/>
  <c r="F20" i="2"/>
  <c r="F18" i="2"/>
  <c r="G18" i="2" s="1"/>
  <c r="H18" i="2" s="1"/>
  <c r="G78" i="2"/>
  <c r="F78" i="2"/>
  <c r="E78" i="2"/>
  <c r="B70" i="2"/>
  <c r="B69" i="2"/>
  <c r="H54" i="2"/>
  <c r="G54" i="2"/>
  <c r="F54" i="2"/>
  <c r="E54" i="2"/>
  <c r="D71" i="2"/>
  <c r="B14" i="2"/>
  <c r="E7" i="2" s="1"/>
  <c r="B9" i="2"/>
  <c r="E8" i="2" s="1"/>
  <c r="F5" i="2"/>
  <c r="G5" i="2" s="1"/>
  <c r="H5" i="2" s="1"/>
  <c r="E15" i="2" l="1"/>
  <c r="E16" i="2"/>
  <c r="G20" i="2"/>
  <c r="F21" i="2"/>
  <c r="E101" i="2" s="1"/>
  <c r="E212" i="2" s="1"/>
  <c r="E228" i="2" s="1"/>
  <c r="G82" i="2"/>
  <c r="G222" i="2" s="1"/>
  <c r="E28" i="2"/>
  <c r="D223" i="2" s="1"/>
  <c r="I9" i="2"/>
  <c r="F7" i="2"/>
  <c r="E9" i="2"/>
  <c r="D64" i="2"/>
  <c r="E10" i="2"/>
  <c r="D70" i="2"/>
  <c r="I28" i="2"/>
  <c r="H32" i="6"/>
  <c r="N33" i="6" s="1"/>
  <c r="S34" i="6"/>
  <c r="S35" i="6" s="1"/>
  <c r="S36" i="6" s="1"/>
  <c r="S37" i="6" s="1"/>
  <c r="S38" i="6" s="1"/>
  <c r="S39" i="6" s="1"/>
  <c r="S40" i="6" s="1"/>
  <c r="S41" i="6" s="1"/>
  <c r="S42" i="6" s="1"/>
  <c r="S43" i="6" s="1"/>
  <c r="S44" i="6" s="1"/>
  <c r="S45" i="6" s="1"/>
  <c r="S46" i="6" s="1"/>
  <c r="S47" i="6" s="1"/>
  <c r="S48" i="6" s="1"/>
  <c r="S49" i="6" s="1"/>
  <c r="S50" i="6" s="1"/>
  <c r="S51" i="6" s="1"/>
  <c r="S52" i="6" s="1"/>
  <c r="S53" i="6" s="1"/>
  <c r="S54" i="6" s="1"/>
  <c r="S55" i="6" s="1"/>
  <c r="S56" i="6" s="1"/>
  <c r="S57" i="6" s="1"/>
  <c r="S58" i="6" s="1"/>
  <c r="S59" i="6" s="1"/>
  <c r="S60" i="6" s="1"/>
  <c r="S61" i="6" s="1"/>
  <c r="S62" i="6" s="1"/>
  <c r="S63" i="6" s="1"/>
  <c r="M35" i="6"/>
  <c r="M36" i="6" s="1"/>
  <c r="M37" i="6" s="1"/>
  <c r="M38" i="6" s="1"/>
  <c r="M39" i="6" s="1"/>
  <c r="M40" i="6" s="1"/>
  <c r="M41" i="6" s="1"/>
  <c r="M42" i="6" s="1"/>
  <c r="M43" i="6" s="1"/>
  <c r="M44" i="6" s="1"/>
  <c r="M45" i="6" s="1"/>
  <c r="M46" i="6" s="1"/>
  <c r="M47" i="6" s="1"/>
  <c r="M48" i="6" s="1"/>
  <c r="M49" i="6" s="1"/>
  <c r="M50" i="6" s="1"/>
  <c r="M51" i="6" s="1"/>
  <c r="M52" i="6" s="1"/>
  <c r="M53" i="6" s="1"/>
  <c r="M54" i="6" s="1"/>
  <c r="M55" i="6" s="1"/>
  <c r="M56" i="6" s="1"/>
  <c r="M57" i="6" s="1"/>
  <c r="M58" i="6" s="1"/>
  <c r="M59" i="6" s="1"/>
  <c r="M60" i="6" s="1"/>
  <c r="M61" i="6" s="1"/>
  <c r="M62" i="6" s="1"/>
  <c r="G34" i="6"/>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E70" i="2"/>
  <c r="F70" i="2"/>
  <c r="F4" i="2"/>
  <c r="D69" i="2"/>
  <c r="B16" i="2"/>
  <c r="F23" i="2"/>
  <c r="H20" i="2" l="1"/>
  <c r="H21" i="2" s="1"/>
  <c r="G21" i="2"/>
  <c r="F101" i="2" s="1"/>
  <c r="F212" i="2" s="1"/>
  <c r="F228" i="2" s="1"/>
  <c r="E82" i="2"/>
  <c r="E222" i="2" s="1"/>
  <c r="F82" i="2"/>
  <c r="F222" i="2" s="1"/>
  <c r="D82" i="2"/>
  <c r="D222" i="2" s="1"/>
  <c r="D72" i="2"/>
  <c r="T34" i="6"/>
  <c r="F16" i="2"/>
  <c r="F9" i="2"/>
  <c r="G4" i="2"/>
  <c r="F8" i="2"/>
  <c r="B15" i="2"/>
  <c r="E13" i="2"/>
  <c r="D62" i="2" s="1"/>
  <c r="E12" i="2"/>
  <c r="D63" i="2" s="1"/>
  <c r="E71" i="2"/>
  <c r="G23" i="2"/>
  <c r="G7" i="2"/>
  <c r="D66" i="2" l="1"/>
  <c r="D73" i="2" s="1"/>
  <c r="D218" i="2" s="1"/>
  <c r="D220" i="2" s="1"/>
  <c r="G70" i="2"/>
  <c r="G101" i="2"/>
  <c r="G212" i="2" s="1"/>
  <c r="G16" i="2"/>
  <c r="F15" i="2"/>
  <c r="E64" i="2" s="1"/>
  <c r="F10" i="2"/>
  <c r="F13" i="2" s="1"/>
  <c r="E62" i="2" s="1"/>
  <c r="H4" i="2"/>
  <c r="G8" i="2"/>
  <c r="G15" i="2" s="1"/>
  <c r="E11" i="2"/>
  <c r="D90" i="2" s="1"/>
  <c r="E14" i="2"/>
  <c r="F12" i="2"/>
  <c r="G9" i="2"/>
  <c r="H7" i="2"/>
  <c r="H16" i="2" s="1"/>
  <c r="H23" i="2"/>
  <c r="G71" i="2" s="1"/>
  <c r="F71" i="2"/>
  <c r="G228" i="2" l="1"/>
  <c r="G235" i="2"/>
  <c r="D91" i="2"/>
  <c r="D211" i="2"/>
  <c r="D227" i="2" s="1"/>
  <c r="D221" i="2"/>
  <c r="D214" i="2" s="1"/>
  <c r="D230" i="2" s="1"/>
  <c r="F11" i="2"/>
  <c r="E90" i="2" s="1"/>
  <c r="E211" i="2" s="1"/>
  <c r="F14" i="2"/>
  <c r="E63" i="2"/>
  <c r="E66" i="2" s="1"/>
  <c r="H9" i="2"/>
  <c r="H12" i="2" s="1"/>
  <c r="G63" i="2" s="1"/>
  <c r="F64" i="2"/>
  <c r="H8" i="2"/>
  <c r="H15" i="2" s="1"/>
  <c r="G64" i="2" s="1"/>
  <c r="G10" i="2"/>
  <c r="G13" i="2" s="1"/>
  <c r="F62" i="2" s="1"/>
  <c r="G12" i="2"/>
  <c r="F63" i="2" s="1"/>
  <c r="E69" i="2"/>
  <c r="E227" i="2" l="1"/>
  <c r="D224" i="2"/>
  <c r="F66" i="2"/>
  <c r="D151" i="2"/>
  <c r="E72" i="2"/>
  <c r="H10" i="2"/>
  <c r="G11" i="2"/>
  <c r="F90" i="2" s="1"/>
  <c r="F211" i="2" s="1"/>
  <c r="F227" i="2" s="1"/>
  <c r="G14" i="2"/>
  <c r="F69" i="2"/>
  <c r="F72" i="2" s="1"/>
  <c r="G69" i="2"/>
  <c r="G72" i="2" s="1"/>
  <c r="F91" i="2" l="1"/>
  <c r="F73" i="2"/>
  <c r="F218" i="2" s="1"/>
  <c r="F220" i="2" s="1"/>
  <c r="E73" i="2"/>
  <c r="E218" i="2" s="1"/>
  <c r="E220" i="2" s="1"/>
  <c r="H13" i="2"/>
  <c r="H11" i="2"/>
  <c r="G90" i="2" s="1"/>
  <c r="G211" i="2" l="1"/>
  <c r="G91" i="2"/>
  <c r="E221" i="2"/>
  <c r="E214" i="2" s="1"/>
  <c r="E230" i="2" s="1"/>
  <c r="F221" i="2"/>
  <c r="F214" i="2" s="1"/>
  <c r="E91" i="2"/>
  <c r="H14" i="2"/>
  <c r="G62" i="2"/>
  <c r="G227" i="2" l="1"/>
  <c r="G234" i="2"/>
  <c r="F230" i="2"/>
  <c r="G66" i="2"/>
  <c r="G73" i="2"/>
  <c r="G218" i="2" s="1"/>
  <c r="G220" i="2" s="1"/>
  <c r="G221" i="2" l="1"/>
  <c r="G214" i="2" s="1"/>
  <c r="D76" i="2"/>
  <c r="C31" i="6"/>
  <c r="E32" i="2"/>
  <c r="D114" i="2" s="1"/>
  <c r="C182" i="2" s="1"/>
  <c r="E29" i="2"/>
  <c r="D93" i="2" s="1"/>
  <c r="D96" i="2" s="1"/>
  <c r="D98" i="2" s="1"/>
  <c r="F28" i="2"/>
  <c r="G230" i="2" l="1"/>
  <c r="G237" i="2"/>
  <c r="E76" i="2"/>
  <c r="E223" i="2"/>
  <c r="E224" i="2" s="1"/>
  <c r="C160" i="2"/>
  <c r="D162" i="2" s="1"/>
  <c r="D31" i="6"/>
  <c r="I32" i="6"/>
  <c r="C32" i="6"/>
  <c r="C33" i="6" s="1"/>
  <c r="C34" i="6" s="1"/>
  <c r="C35" i="6" s="1"/>
  <c r="C36" i="6" s="1"/>
  <c r="C37" i="6" s="1"/>
  <c r="C38" i="6" s="1"/>
  <c r="C39" i="6" s="1"/>
  <c r="C40" i="6" s="1"/>
  <c r="C41" i="6" s="1"/>
  <c r="C42" i="6" s="1"/>
  <c r="C43" i="6" s="1"/>
  <c r="C44" i="6" s="1"/>
  <c r="C45" i="6" s="1"/>
  <c r="C46" i="6" s="1"/>
  <c r="C47" i="6" s="1"/>
  <c r="C48" i="6" s="1"/>
  <c r="C49" i="6" s="1"/>
  <c r="C50" i="6" s="1"/>
  <c r="C51" i="6" s="1"/>
  <c r="C52" i="6" s="1"/>
  <c r="C53" i="6" s="1"/>
  <c r="C54" i="6" s="1"/>
  <c r="C55" i="6" s="1"/>
  <c r="C56" i="6" s="1"/>
  <c r="C57" i="6" s="1"/>
  <c r="C58" i="6" s="1"/>
  <c r="C59" i="6" s="1"/>
  <c r="C60" i="6" s="1"/>
  <c r="F32" i="2"/>
  <c r="E114" i="2" s="1"/>
  <c r="F29" i="2"/>
  <c r="E93" i="2" s="1"/>
  <c r="E96" i="2" s="1"/>
  <c r="E98" i="2" s="1"/>
  <c r="G28" i="2"/>
  <c r="F223" i="2" s="1"/>
  <c r="F224" i="2" s="1"/>
  <c r="G32" i="2" l="1"/>
  <c r="F114" i="2" s="1"/>
  <c r="O33" i="6"/>
  <c r="I33" i="6"/>
  <c r="I34" i="6" s="1"/>
  <c r="I35" i="6" s="1"/>
  <c r="I36" i="6" s="1"/>
  <c r="I37" i="6" s="1"/>
  <c r="I38" i="6" s="1"/>
  <c r="I39" i="6" s="1"/>
  <c r="I40" i="6" s="1"/>
  <c r="I41" i="6" s="1"/>
  <c r="I42" i="6" s="1"/>
  <c r="I43" i="6" s="1"/>
  <c r="I44" i="6" s="1"/>
  <c r="I45" i="6" s="1"/>
  <c r="I46" i="6" s="1"/>
  <c r="I47" i="6" s="1"/>
  <c r="I48" i="6" s="1"/>
  <c r="I49" i="6" s="1"/>
  <c r="I50" i="6" s="1"/>
  <c r="I51" i="6" s="1"/>
  <c r="I52" i="6" s="1"/>
  <c r="I53" i="6" s="1"/>
  <c r="I54" i="6" s="1"/>
  <c r="I55" i="6" s="1"/>
  <c r="I56" i="6" s="1"/>
  <c r="I57" i="6" s="1"/>
  <c r="I58" i="6" s="1"/>
  <c r="I59" i="6" s="1"/>
  <c r="I60" i="6" s="1"/>
  <c r="I61" i="6" s="1"/>
  <c r="J32" i="6"/>
  <c r="E31" i="6"/>
  <c r="B32" i="6" s="1"/>
  <c r="D32" i="6"/>
  <c r="C3" i="3"/>
  <c r="J7" i="3"/>
  <c r="G29" i="2"/>
  <c r="F93" i="2" s="1"/>
  <c r="F96" i="2" s="1"/>
  <c r="F98" i="2" s="1"/>
  <c r="H28" i="2"/>
  <c r="G223" i="2" s="1"/>
  <c r="G224" i="2" s="1"/>
  <c r="F76" i="2"/>
  <c r="H32" i="2" l="1"/>
  <c r="G114" i="2" s="1"/>
  <c r="D33" i="6"/>
  <c r="E32" i="6"/>
  <c r="B33" i="6" s="1"/>
  <c r="J33" i="6"/>
  <c r="K32" i="6"/>
  <c r="H33" i="6" s="1"/>
  <c r="O34" i="6"/>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U34" i="6"/>
  <c r="P33" i="6"/>
  <c r="E3" i="3"/>
  <c r="F3" i="3"/>
  <c r="E33" i="2"/>
  <c r="H29" i="2"/>
  <c r="G93" i="2" s="1"/>
  <c r="G76" i="2"/>
  <c r="G96" i="2" l="1"/>
  <c r="G98" i="2" s="1"/>
  <c r="G241" i="2"/>
  <c r="U35" i="6"/>
  <c r="U36" i="6" s="1"/>
  <c r="U37" i="6" s="1"/>
  <c r="U38" i="6" s="1"/>
  <c r="U39" i="6" s="1"/>
  <c r="U40" i="6" s="1"/>
  <c r="U41" i="6" s="1"/>
  <c r="U42" i="6" s="1"/>
  <c r="U43" i="6" s="1"/>
  <c r="U44" i="6" s="1"/>
  <c r="U45" i="6" s="1"/>
  <c r="U46" i="6" s="1"/>
  <c r="U47" i="6" s="1"/>
  <c r="U48" i="6" s="1"/>
  <c r="U49" i="6" s="1"/>
  <c r="U50" i="6" s="1"/>
  <c r="U51" i="6" s="1"/>
  <c r="U52" i="6" s="1"/>
  <c r="U53" i="6" s="1"/>
  <c r="U54" i="6" s="1"/>
  <c r="U55" i="6" s="1"/>
  <c r="U56" i="6" s="1"/>
  <c r="U57" i="6" s="1"/>
  <c r="U58" i="6" s="1"/>
  <c r="U59" i="6" s="1"/>
  <c r="U60" i="6" s="1"/>
  <c r="U61" i="6" s="1"/>
  <c r="U62" i="6" s="1"/>
  <c r="U63" i="6" s="1"/>
  <c r="V34" i="6"/>
  <c r="P34" i="6"/>
  <c r="Q33" i="6"/>
  <c r="N34" i="6" s="1"/>
  <c r="K33" i="6"/>
  <c r="H34" i="6" s="1"/>
  <c r="J34" i="6"/>
  <c r="D34" i="6"/>
  <c r="E33" i="6"/>
  <c r="B34" i="6" s="1"/>
  <c r="D3" i="3"/>
  <c r="F33" i="2"/>
  <c r="E34" i="2"/>
  <c r="F4" i="3"/>
  <c r="D35" i="6" l="1"/>
  <c r="E34" i="6"/>
  <c r="B35" i="6" s="1"/>
  <c r="K34" i="6"/>
  <c r="H35" i="6" s="1"/>
  <c r="J35" i="6"/>
  <c r="P35" i="6"/>
  <c r="Q34" i="6"/>
  <c r="N35" i="6" s="1"/>
  <c r="W34" i="6"/>
  <c r="T35" i="6" s="1"/>
  <c r="V35" i="6"/>
  <c r="G3" i="3"/>
  <c r="C4" i="3" s="1"/>
  <c r="F5" i="3"/>
  <c r="G33" i="2"/>
  <c r="F34" i="2"/>
  <c r="Q35" i="6" l="1"/>
  <c r="N36" i="6" s="1"/>
  <c r="P36" i="6"/>
  <c r="W35" i="6"/>
  <c r="T36" i="6" s="1"/>
  <c r="V36" i="6"/>
  <c r="K35" i="6"/>
  <c r="H36" i="6" s="1"/>
  <c r="J36" i="6"/>
  <c r="D36" i="6"/>
  <c r="E35" i="6"/>
  <c r="B36" i="6" s="1"/>
  <c r="E4" i="3"/>
  <c r="F6" i="3"/>
  <c r="G34" i="2"/>
  <c r="H33" i="2"/>
  <c r="H34" i="2" s="1"/>
  <c r="D37" i="6" l="1"/>
  <c r="E36" i="6"/>
  <c r="B37" i="6" s="1"/>
  <c r="K36" i="6"/>
  <c r="H37" i="6" s="1"/>
  <c r="J37" i="6"/>
  <c r="V37" i="6"/>
  <c r="W36" i="6"/>
  <c r="T37" i="6" s="1"/>
  <c r="P37" i="6"/>
  <c r="Q36" i="6"/>
  <c r="N37" i="6" s="1"/>
  <c r="F7" i="3"/>
  <c r="D4" i="3"/>
  <c r="P38" i="6" l="1"/>
  <c r="Q37" i="6"/>
  <c r="N38" i="6" s="1"/>
  <c r="W37" i="6"/>
  <c r="T38" i="6" s="1"/>
  <c r="V38" i="6"/>
  <c r="K37" i="6"/>
  <c r="H38" i="6" s="1"/>
  <c r="J38" i="6"/>
  <c r="E37" i="6"/>
  <c r="D38" i="6"/>
  <c r="G4" i="3"/>
  <c r="F8" i="3"/>
  <c r="B38" i="6" l="1"/>
  <c r="W38" i="6"/>
  <c r="T39" i="6" s="1"/>
  <c r="V39" i="6"/>
  <c r="D39" i="6"/>
  <c r="E38" i="6"/>
  <c r="B39" i="6" s="1"/>
  <c r="J39" i="6"/>
  <c r="K38" i="6"/>
  <c r="Q38" i="6"/>
  <c r="N39" i="6" s="1"/>
  <c r="P39" i="6"/>
  <c r="C5" i="3"/>
  <c r="F9" i="3"/>
  <c r="J40" i="6" l="1"/>
  <c r="K39" i="6"/>
  <c r="H40" i="6" s="1"/>
  <c r="H39" i="6"/>
  <c r="D40" i="6"/>
  <c r="E39" i="6"/>
  <c r="Q39" i="6"/>
  <c r="N40" i="6" s="1"/>
  <c r="P40" i="6"/>
  <c r="V40" i="6"/>
  <c r="W39" i="6"/>
  <c r="T40" i="6" s="1"/>
  <c r="E5" i="3"/>
  <c r="F10" i="3"/>
  <c r="B40" i="6" l="1"/>
  <c r="E40" i="6"/>
  <c r="B41" i="6" s="1"/>
  <c r="D41" i="6"/>
  <c r="W40" i="6"/>
  <c r="T41" i="6" s="1"/>
  <c r="V41" i="6"/>
  <c r="Q40" i="6"/>
  <c r="P41" i="6"/>
  <c r="J41" i="6"/>
  <c r="K40" i="6"/>
  <c r="F11" i="3"/>
  <c r="D5" i="3"/>
  <c r="K41" i="6" l="1"/>
  <c r="H42" i="6" s="1"/>
  <c r="J42" i="6"/>
  <c r="P42" i="6"/>
  <c r="Q41" i="6"/>
  <c r="N42" i="6" s="1"/>
  <c r="H41" i="6"/>
  <c r="V42" i="6"/>
  <c r="W41" i="6"/>
  <c r="D42" i="6"/>
  <c r="E41" i="6"/>
  <c r="N41" i="6"/>
  <c r="G5" i="3"/>
  <c r="F12" i="3"/>
  <c r="T42" i="6" l="1"/>
  <c r="V43" i="6"/>
  <c r="W42" i="6"/>
  <c r="T43" i="6" s="1"/>
  <c r="Q42" i="6"/>
  <c r="P43" i="6"/>
  <c r="D43" i="6"/>
  <c r="E42" i="6"/>
  <c r="B43" i="6" s="1"/>
  <c r="J43" i="6"/>
  <c r="K42" i="6"/>
  <c r="H43" i="6" s="1"/>
  <c r="B42" i="6"/>
  <c r="F13" i="3"/>
  <c r="C6" i="3"/>
  <c r="N43" i="6" l="1"/>
  <c r="E43" i="6"/>
  <c r="D44" i="6"/>
  <c r="Q43" i="6"/>
  <c r="N44" i="6" s="1"/>
  <c r="P44" i="6"/>
  <c r="V44" i="6"/>
  <c r="W43" i="6"/>
  <c r="K43" i="6"/>
  <c r="J44" i="6"/>
  <c r="E6" i="3"/>
  <c r="F14" i="3"/>
  <c r="J45" i="6" l="1"/>
  <c r="K44" i="6"/>
  <c r="H45" i="6" s="1"/>
  <c r="T44" i="6"/>
  <c r="Q44" i="6"/>
  <c r="P45" i="6"/>
  <c r="B44" i="6"/>
  <c r="H44" i="6"/>
  <c r="V45" i="6"/>
  <c r="W44" i="6"/>
  <c r="T45" i="6" s="1"/>
  <c r="E44" i="6"/>
  <c r="B45" i="6" s="1"/>
  <c r="D45" i="6"/>
  <c r="F17" i="3"/>
  <c r="D6" i="3"/>
  <c r="J46" i="6" l="1"/>
  <c r="K45" i="6"/>
  <c r="V46" i="6"/>
  <c r="W45" i="6"/>
  <c r="P46" i="6"/>
  <c r="Q45" i="6"/>
  <c r="N46" i="6" s="1"/>
  <c r="N45" i="6"/>
  <c r="D46" i="6"/>
  <c r="E45" i="6"/>
  <c r="B46" i="6" s="1"/>
  <c r="G6" i="3"/>
  <c r="F18" i="3"/>
  <c r="E46" i="6" l="1"/>
  <c r="B47" i="6" s="1"/>
  <c r="D47" i="6"/>
  <c r="T46" i="6"/>
  <c r="W46" i="6"/>
  <c r="T47" i="6" s="1"/>
  <c r="V47" i="6"/>
  <c r="H46" i="6"/>
  <c r="J47" i="6"/>
  <c r="K46" i="6"/>
  <c r="H47" i="6" s="1"/>
  <c r="Q46" i="6"/>
  <c r="P47" i="6"/>
  <c r="C7" i="3"/>
  <c r="F19" i="3"/>
  <c r="N47" i="6" l="1"/>
  <c r="E47" i="6"/>
  <c r="B48" i="6" s="1"/>
  <c r="D48" i="6"/>
  <c r="W47" i="6"/>
  <c r="T48" i="6" s="1"/>
  <c r="V48" i="6"/>
  <c r="Q47" i="6"/>
  <c r="N48" i="6" s="1"/>
  <c r="P48" i="6"/>
  <c r="K47" i="6"/>
  <c r="H48" i="6" s="1"/>
  <c r="J48" i="6"/>
  <c r="F20" i="3"/>
  <c r="E7" i="3"/>
  <c r="E48" i="6" l="1"/>
  <c r="B49" i="6" s="1"/>
  <c r="D49" i="6"/>
  <c r="J49" i="6"/>
  <c r="K48" i="6"/>
  <c r="H49" i="6" s="1"/>
  <c r="P49" i="6"/>
  <c r="Q48" i="6"/>
  <c r="N49" i="6" s="1"/>
  <c r="V49" i="6"/>
  <c r="W48" i="6"/>
  <c r="D7" i="3"/>
  <c r="F21" i="3"/>
  <c r="T49" i="6" l="1"/>
  <c r="Q49" i="6"/>
  <c r="N50" i="6" s="1"/>
  <c r="P50" i="6"/>
  <c r="W49" i="6"/>
  <c r="T50" i="6" s="1"/>
  <c r="V50" i="6"/>
  <c r="K49" i="6"/>
  <c r="H50" i="6" s="1"/>
  <c r="J50" i="6"/>
  <c r="D50" i="6"/>
  <c r="E49" i="6"/>
  <c r="B50" i="6" s="1"/>
  <c r="F22" i="3"/>
  <c r="G7" i="3"/>
  <c r="V51" i="6" l="1"/>
  <c r="W50" i="6"/>
  <c r="T51" i="6" s="1"/>
  <c r="K50" i="6"/>
  <c r="H51" i="6" s="1"/>
  <c r="J51" i="6"/>
  <c r="Q50" i="6"/>
  <c r="N51" i="6" s="1"/>
  <c r="P51" i="6"/>
  <c r="D51" i="6"/>
  <c r="E50" i="6"/>
  <c r="B51" i="6" s="1"/>
  <c r="C8" i="3"/>
  <c r="F23" i="3"/>
  <c r="D52" i="6" l="1"/>
  <c r="E51" i="6"/>
  <c r="B52" i="6" s="1"/>
  <c r="P52" i="6"/>
  <c r="Q51" i="6"/>
  <c r="N52" i="6" s="1"/>
  <c r="K51" i="6"/>
  <c r="H52" i="6" s="1"/>
  <c r="J52" i="6"/>
  <c r="V52" i="6"/>
  <c r="W51" i="6"/>
  <c r="T52" i="6" s="1"/>
  <c r="F24" i="3"/>
  <c r="E8" i="3"/>
  <c r="J53" i="6" l="1"/>
  <c r="K52" i="6"/>
  <c r="H53" i="6" s="1"/>
  <c r="Q52" i="6"/>
  <c r="N53" i="6" s="1"/>
  <c r="P53" i="6"/>
  <c r="V53" i="6"/>
  <c r="W52" i="6"/>
  <c r="T53" i="6" s="1"/>
  <c r="E52" i="6"/>
  <c r="B53" i="6" s="1"/>
  <c r="D53" i="6"/>
  <c r="F25" i="3"/>
  <c r="D8" i="3"/>
  <c r="W53" i="6" l="1"/>
  <c r="T54" i="6" s="1"/>
  <c r="V54" i="6"/>
  <c r="E53" i="6"/>
  <c r="B54" i="6" s="1"/>
  <c r="D54" i="6"/>
  <c r="P54" i="6"/>
  <c r="Q53" i="6"/>
  <c r="N54" i="6" s="1"/>
  <c r="K53" i="6"/>
  <c r="H54" i="6" s="1"/>
  <c r="J54" i="6"/>
  <c r="G8" i="3"/>
  <c r="F26" i="3"/>
  <c r="Q54" i="6" l="1"/>
  <c r="N55" i="6" s="1"/>
  <c r="P55" i="6"/>
  <c r="V55" i="6"/>
  <c r="W54" i="6"/>
  <c r="T55" i="6" s="1"/>
  <c r="J55" i="6"/>
  <c r="K54" i="6"/>
  <c r="H55" i="6" s="1"/>
  <c r="D55" i="6"/>
  <c r="E54" i="6"/>
  <c r="B55" i="6" s="1"/>
  <c r="C9" i="3"/>
  <c r="F27" i="3"/>
  <c r="J56" i="6" l="1"/>
  <c r="K55" i="6"/>
  <c r="H56" i="6" s="1"/>
  <c r="D56" i="6"/>
  <c r="E55" i="6"/>
  <c r="B56" i="6" s="1"/>
  <c r="V56" i="6"/>
  <c r="W55" i="6"/>
  <c r="T56" i="6" s="1"/>
  <c r="P56" i="6"/>
  <c r="Q55" i="6"/>
  <c r="N56" i="6" s="1"/>
  <c r="F28" i="3"/>
  <c r="E9" i="3"/>
  <c r="W56" i="6" l="1"/>
  <c r="T57" i="6" s="1"/>
  <c r="V57" i="6"/>
  <c r="Q56" i="6"/>
  <c r="N57" i="6" s="1"/>
  <c r="P57" i="6"/>
  <c r="D57" i="6"/>
  <c r="E56" i="6"/>
  <c r="B57" i="6" s="1"/>
  <c r="J57" i="6"/>
  <c r="K56" i="6"/>
  <c r="H57" i="6" s="1"/>
  <c r="D9" i="3"/>
  <c r="F31" i="3"/>
  <c r="D58" i="6" l="1"/>
  <c r="E57" i="6"/>
  <c r="B58" i="6" s="1"/>
  <c r="J58" i="6"/>
  <c r="K57" i="6"/>
  <c r="H58" i="6" s="1"/>
  <c r="V58" i="6"/>
  <c r="W57" i="6"/>
  <c r="T58" i="6" s="1"/>
  <c r="Q57" i="6"/>
  <c r="N58" i="6" s="1"/>
  <c r="P58" i="6"/>
  <c r="F32" i="3"/>
  <c r="G9" i="3"/>
  <c r="Q58" i="6" l="1"/>
  <c r="N59" i="6" s="1"/>
  <c r="P59" i="6"/>
  <c r="W58" i="6"/>
  <c r="T59" i="6" s="1"/>
  <c r="V59" i="6"/>
  <c r="J59" i="6"/>
  <c r="K58" i="6"/>
  <c r="H59" i="6" s="1"/>
  <c r="D59" i="6"/>
  <c r="E58" i="6"/>
  <c r="B59" i="6" s="1"/>
  <c r="F33" i="3"/>
  <c r="C10" i="3"/>
  <c r="D60" i="6" l="1"/>
  <c r="E60" i="6" s="1"/>
  <c r="E59" i="6"/>
  <c r="B60" i="6" s="1"/>
  <c r="J60" i="6"/>
  <c r="K59" i="6"/>
  <c r="H60" i="6" s="1"/>
  <c r="V60" i="6"/>
  <c r="W59" i="6"/>
  <c r="T60" i="6" s="1"/>
  <c r="P60" i="6"/>
  <c r="Q59" i="6"/>
  <c r="N60" i="6" s="1"/>
  <c r="E10" i="3"/>
  <c r="F34" i="3"/>
  <c r="V61" i="6" l="1"/>
  <c r="W60" i="6"/>
  <c r="T61" i="6" s="1"/>
  <c r="K60" i="6"/>
  <c r="H61" i="6" s="1"/>
  <c r="J61" i="6"/>
  <c r="K61" i="6" s="1"/>
  <c r="Q60" i="6"/>
  <c r="N61" i="6" s="1"/>
  <c r="P61" i="6"/>
  <c r="K10" i="6"/>
  <c r="I16" i="6"/>
  <c r="K4" i="6"/>
  <c r="J16" i="6"/>
  <c r="I4" i="6"/>
  <c r="K16" i="6"/>
  <c r="I10" i="6"/>
  <c r="J10" i="6"/>
  <c r="I22" i="6"/>
  <c r="J4" i="6"/>
  <c r="J22" i="6"/>
  <c r="K22" i="6"/>
  <c r="F35" i="3"/>
  <c r="D10" i="3"/>
  <c r="P62" i="6" l="1"/>
  <c r="Q62" i="6" s="1"/>
  <c r="Q61" i="6"/>
  <c r="N62" i="6" s="1"/>
  <c r="I17" i="6"/>
  <c r="I11" i="6"/>
  <c r="J23" i="6"/>
  <c r="I5" i="6"/>
  <c r="J5" i="6"/>
  <c r="K23" i="6"/>
  <c r="I23" i="6"/>
  <c r="K5" i="6"/>
  <c r="K11" i="6"/>
  <c r="K17" i="6"/>
  <c r="J17" i="6"/>
  <c r="J11" i="6"/>
  <c r="V62" i="6"/>
  <c r="W61" i="6"/>
  <c r="T62" i="6" s="1"/>
  <c r="G10" i="3"/>
  <c r="F36" i="3"/>
  <c r="V63" i="6" l="1"/>
  <c r="W63" i="6" s="1"/>
  <c r="W62" i="6"/>
  <c r="T63" i="6" s="1"/>
  <c r="J12" i="6"/>
  <c r="J6" i="6"/>
  <c r="J24" i="6"/>
  <c r="I24" i="6"/>
  <c r="J18" i="6"/>
  <c r="K24" i="6"/>
  <c r="K12" i="6"/>
  <c r="I6" i="6"/>
  <c r="I18" i="6"/>
  <c r="K6" i="6"/>
  <c r="I12" i="6"/>
  <c r="K18" i="6"/>
  <c r="F37" i="3"/>
  <c r="C11" i="3"/>
  <c r="I13" i="6" l="1"/>
  <c r="I14" i="6" s="1"/>
  <c r="K19" i="6"/>
  <c r="K20" i="6" s="1"/>
  <c r="I25" i="6"/>
  <c r="I26" i="6" s="1"/>
  <c r="J25" i="6"/>
  <c r="J26" i="6" s="1"/>
  <c r="K13" i="6"/>
  <c r="K14" i="6" s="1"/>
  <c r="K7" i="6"/>
  <c r="K8" i="6" s="1"/>
  <c r="J13" i="6"/>
  <c r="J14" i="6" s="1"/>
  <c r="J19" i="6"/>
  <c r="J20" i="6" s="1"/>
  <c r="J7" i="6"/>
  <c r="J8" i="6" s="1"/>
  <c r="I19" i="6"/>
  <c r="I20" i="6" s="1"/>
  <c r="I7" i="6"/>
  <c r="I8" i="6" s="1"/>
  <c r="K25" i="6"/>
  <c r="K26" i="6" s="1"/>
  <c r="E11" i="3"/>
  <c r="F38" i="3"/>
  <c r="F39" i="3" l="1"/>
  <c r="D11" i="3"/>
  <c r="G11" i="3" l="1"/>
  <c r="F40" i="3"/>
  <c r="F41" i="3" l="1"/>
  <c r="C12" i="3"/>
  <c r="E12" i="3" l="1"/>
  <c r="F42" i="3"/>
  <c r="D12" i="3" l="1"/>
  <c r="F45" i="3"/>
  <c r="G12" i="3" l="1"/>
  <c r="F46" i="3"/>
  <c r="F47" i="3" l="1"/>
  <c r="C13" i="3"/>
  <c r="E13" i="3" l="1"/>
  <c r="F48" i="3"/>
  <c r="F49" i="3" l="1"/>
  <c r="D13" i="3"/>
  <c r="G13" i="3" l="1"/>
  <c r="F50" i="3"/>
  <c r="C14" i="3" l="1"/>
  <c r="F51" i="3"/>
  <c r="F52" i="3" l="1"/>
  <c r="E14" i="3"/>
  <c r="D102" i="2" l="1"/>
  <c r="D14" i="3"/>
  <c r="E15" i="3"/>
  <c r="E169" i="2" s="1"/>
  <c r="F53" i="3"/>
  <c r="C154" i="2" l="1"/>
  <c r="D213" i="2"/>
  <c r="D229" i="2" s="1"/>
  <c r="D246" i="2" s="1"/>
  <c r="F54" i="3"/>
  <c r="D77" i="2"/>
  <c r="D79" i="2" s="1"/>
  <c r="D80" i="2" s="1"/>
  <c r="D15" i="3"/>
  <c r="G14" i="3"/>
  <c r="D81" i="2" l="1"/>
  <c r="D108" i="2"/>
  <c r="C169" i="2" s="1"/>
  <c r="C179" i="2" s="1"/>
  <c r="C17" i="3"/>
  <c r="F55" i="3"/>
  <c r="D103" i="2" l="1"/>
  <c r="C155" i="2" s="1"/>
  <c r="C142" i="2"/>
  <c r="D203" i="2" s="1"/>
  <c r="D83" i="2"/>
  <c r="D110" i="2"/>
  <c r="E17" i="3"/>
  <c r="F56" i="3"/>
  <c r="D105" i="2" l="1"/>
  <c r="E55" i="2" s="1"/>
  <c r="D115" i="2"/>
  <c r="D117" i="2" s="1"/>
  <c r="E57" i="2"/>
  <c r="D158" i="2"/>
  <c r="D164" i="2" s="1"/>
  <c r="D112" i="2"/>
  <c r="C183" i="2"/>
  <c r="F59" i="3"/>
  <c r="D17" i="3"/>
  <c r="E58" i="2" l="1"/>
  <c r="D119" i="2"/>
  <c r="D121" i="2" s="1"/>
  <c r="E56" i="2"/>
  <c r="C192" i="2"/>
  <c r="C194" i="2" s="1"/>
  <c r="F194" i="2" s="1"/>
  <c r="G17" i="3"/>
  <c r="F60" i="3"/>
  <c r="D173" i="2" l="1"/>
  <c r="D191" i="2"/>
  <c r="D174" i="2"/>
  <c r="D184" i="2"/>
  <c r="D182" i="2"/>
  <c r="D175" i="2"/>
  <c r="D185" i="2"/>
  <c r="D176" i="2"/>
  <c r="D186" i="2"/>
  <c r="D177" i="2"/>
  <c r="D187" i="2"/>
  <c r="D178" i="2"/>
  <c r="D188" i="2"/>
  <c r="D171" i="2"/>
  <c r="D170" i="2"/>
  <c r="D189" i="2"/>
  <c r="D172" i="2"/>
  <c r="D169" i="2"/>
  <c r="D190" i="2"/>
  <c r="D183" i="2"/>
  <c r="F61" i="3"/>
  <c r="C18" i="3"/>
  <c r="D192" i="2" l="1"/>
  <c r="D201" i="2" s="1"/>
  <c r="D179" i="2"/>
  <c r="D202" i="2" s="1"/>
  <c r="G139" i="2" s="1"/>
  <c r="G140" i="2" s="1"/>
  <c r="E18" i="3"/>
  <c r="F62" i="3"/>
  <c r="F63" i="3" l="1"/>
  <c r="D18" i="3"/>
  <c r="G18" i="3" l="1"/>
  <c r="F64" i="3"/>
  <c r="F65" i="3" l="1"/>
  <c r="C19" i="3"/>
  <c r="E19" i="3" l="1"/>
  <c r="F66" i="3"/>
  <c r="F67" i="3" l="1"/>
  <c r="D19" i="3"/>
  <c r="G19" i="3" l="1"/>
  <c r="F68" i="3"/>
  <c r="F69" i="3" l="1"/>
  <c r="C20" i="3"/>
  <c r="E20" i="3" l="1"/>
  <c r="F70" i="3"/>
  <c r="F73" i="3" l="1"/>
  <c r="D20" i="3"/>
  <c r="G20" i="3" l="1"/>
  <c r="F74" i="3"/>
  <c r="F75" i="3" l="1"/>
  <c r="C21" i="3"/>
  <c r="E21" i="3" l="1"/>
  <c r="F76" i="3"/>
  <c r="D21" i="3" l="1"/>
  <c r="F77" i="3"/>
  <c r="F78" i="3" l="1"/>
  <c r="G21" i="3"/>
  <c r="C22" i="3" l="1"/>
  <c r="F79" i="3"/>
  <c r="F80" i="3" l="1"/>
  <c r="E22" i="3"/>
  <c r="D22" i="3" l="1"/>
  <c r="F81" i="3"/>
  <c r="F82" i="3" l="1"/>
  <c r="G22" i="3"/>
  <c r="C23" i="3" l="1"/>
  <c r="F83" i="3"/>
  <c r="E23" i="3" l="1"/>
  <c r="F84" i="3"/>
  <c r="D23" i="3" l="1"/>
  <c r="F87" i="3"/>
  <c r="G23" i="3" l="1"/>
  <c r="F88" i="3"/>
  <c r="F89" i="3" l="1"/>
  <c r="C24" i="3"/>
  <c r="E24" i="3" l="1"/>
  <c r="F90" i="3"/>
  <c r="F91" i="3" l="1"/>
  <c r="D24" i="3"/>
  <c r="G24" i="3" l="1"/>
  <c r="F92" i="3"/>
  <c r="F93" i="3" l="1"/>
  <c r="C25" i="3"/>
  <c r="E25" i="3" l="1"/>
  <c r="F94" i="3"/>
  <c r="F95" i="3" l="1"/>
  <c r="D25" i="3"/>
  <c r="G25" i="3" l="1"/>
  <c r="F96" i="3"/>
  <c r="F97" i="3" l="1"/>
  <c r="C26" i="3"/>
  <c r="E26" i="3" l="1"/>
  <c r="F98" i="3"/>
  <c r="F101" i="3" l="1"/>
  <c r="D26" i="3"/>
  <c r="G26" i="3" l="1"/>
  <c r="F102" i="3"/>
  <c r="F103" i="3" l="1"/>
  <c r="C27" i="3"/>
  <c r="F104" i="3" l="1"/>
  <c r="E27" i="3"/>
  <c r="D27" i="3" l="1"/>
  <c r="F105" i="3"/>
  <c r="F106" i="3" l="1"/>
  <c r="G27" i="3"/>
  <c r="C28" i="3" l="1"/>
  <c r="F107" i="3"/>
  <c r="F108" i="3" l="1"/>
  <c r="E28" i="3"/>
  <c r="D28" i="3" l="1"/>
  <c r="E102" i="2"/>
  <c r="E213" i="2" s="1"/>
  <c r="E29" i="3"/>
  <c r="F109" i="3"/>
  <c r="E229" i="2" l="1"/>
  <c r="E246" i="2" s="1"/>
  <c r="F110" i="3"/>
  <c r="D29" i="3"/>
  <c r="G28" i="3"/>
  <c r="E77" i="2"/>
  <c r="E79" i="2" s="1"/>
  <c r="E80" i="2" s="1"/>
  <c r="E81" i="2" l="1"/>
  <c r="C31" i="3"/>
  <c r="E108" i="2"/>
  <c r="F111" i="3"/>
  <c r="E83" i="2" l="1"/>
  <c r="F57" i="2" s="1"/>
  <c r="E103" i="2"/>
  <c r="E105" i="2" s="1"/>
  <c r="F55" i="2" s="1"/>
  <c r="E110" i="2"/>
  <c r="F112" i="3"/>
  <c r="E31" i="3"/>
  <c r="E115" i="2" l="1"/>
  <c r="E117" i="2" s="1"/>
  <c r="E112" i="2"/>
  <c r="D31" i="3"/>
  <c r="F115" i="3"/>
  <c r="F58" i="2" l="1"/>
  <c r="E119" i="2"/>
  <c r="E121" i="2" s="1"/>
  <c r="F56" i="2"/>
  <c r="F116" i="3"/>
  <c r="G31" i="3"/>
  <c r="C32" i="3" l="1"/>
  <c r="F117" i="3"/>
  <c r="E32" i="3" l="1"/>
  <c r="F118" i="3"/>
  <c r="F119" i="3" l="1"/>
  <c r="D32" i="3"/>
  <c r="G32" i="3" l="1"/>
  <c r="F120" i="3"/>
  <c r="F121" i="3" l="1"/>
  <c r="C33" i="3"/>
  <c r="F122" i="3" l="1"/>
  <c r="E33" i="3"/>
  <c r="D33" i="3" l="1"/>
  <c r="F123" i="3"/>
  <c r="G33" i="3" l="1"/>
  <c r="F124" i="3"/>
  <c r="F125" i="3" l="1"/>
  <c r="C34" i="3"/>
  <c r="E34" i="3" l="1"/>
  <c r="F126" i="3"/>
  <c r="F129" i="3" l="1"/>
  <c r="D34" i="3"/>
  <c r="G34" i="3" l="1"/>
  <c r="F130" i="3"/>
  <c r="F131" i="3" l="1"/>
  <c r="C35" i="3"/>
  <c r="F132" i="3" l="1"/>
  <c r="E35" i="3"/>
  <c r="D35" i="3" l="1"/>
  <c r="F133" i="3"/>
  <c r="F134" i="3" l="1"/>
  <c r="G35" i="3"/>
  <c r="C36" i="3" l="1"/>
  <c r="F135" i="3"/>
  <c r="F136" i="3" l="1"/>
  <c r="E36" i="3"/>
  <c r="D36" i="3" l="1"/>
  <c r="F137" i="3"/>
  <c r="F138" i="3" l="1"/>
  <c r="G36" i="3"/>
  <c r="C37" i="3" l="1"/>
  <c r="F139" i="3"/>
  <c r="F140" i="3" l="1"/>
  <c r="E37" i="3"/>
  <c r="D37" i="3" l="1"/>
  <c r="F143" i="3"/>
  <c r="F144" i="3" l="1"/>
  <c r="G37" i="3"/>
  <c r="C38" i="3" l="1"/>
  <c r="F145" i="3"/>
  <c r="F146" i="3" l="1"/>
  <c r="E38" i="3"/>
  <c r="D38" i="3" l="1"/>
  <c r="F147" i="3"/>
  <c r="F148" i="3" l="1"/>
  <c r="G38" i="3"/>
  <c r="C39" i="3" l="1"/>
  <c r="F149" i="3"/>
  <c r="F150" i="3" l="1"/>
  <c r="E39" i="3"/>
  <c r="D39" i="3" l="1"/>
  <c r="F151" i="3"/>
  <c r="F152" i="3" l="1"/>
  <c r="G39" i="3"/>
  <c r="F153" i="3" l="1"/>
  <c r="C40" i="3"/>
  <c r="E40" i="3" l="1"/>
  <c r="F154" i="3"/>
  <c r="D40" i="3" l="1"/>
  <c r="F157" i="3"/>
  <c r="F158" i="3" l="1"/>
  <c r="G40" i="3"/>
  <c r="C41" i="3" l="1"/>
  <c r="F159" i="3"/>
  <c r="F160" i="3" l="1"/>
  <c r="E41" i="3"/>
  <c r="D41" i="3" l="1"/>
  <c r="F161" i="3"/>
  <c r="F162" i="3" l="1"/>
  <c r="G41" i="3"/>
  <c r="C42" i="3" l="1"/>
  <c r="F163" i="3"/>
  <c r="F164" i="3" l="1"/>
  <c r="E42" i="3"/>
  <c r="D42" i="3" l="1"/>
  <c r="F102" i="2"/>
  <c r="F213" i="2" s="1"/>
  <c r="F229" i="2" s="1"/>
  <c r="E43" i="3"/>
  <c r="F165" i="3"/>
  <c r="F246" i="2" l="1"/>
  <c r="F166" i="3"/>
  <c r="F77" i="2"/>
  <c r="F79" i="2" s="1"/>
  <c r="F80" i="2" s="1"/>
  <c r="D43" i="3"/>
  <c r="G42" i="3"/>
  <c r="F81" i="2" l="1"/>
  <c r="C45" i="3"/>
  <c r="F108" i="2"/>
  <c r="F167" i="3"/>
  <c r="F83" i="2" l="1"/>
  <c r="G57" i="2" s="1"/>
  <c r="F103" i="2"/>
  <c r="F105" i="2" s="1"/>
  <c r="G55" i="2" s="1"/>
  <c r="F110" i="2"/>
  <c r="F168" i="3"/>
  <c r="E45" i="3"/>
  <c r="F115" i="2" l="1"/>
  <c r="F117" i="2" s="1"/>
  <c r="F112" i="2"/>
  <c r="D45" i="3"/>
  <c r="F171" i="3"/>
  <c r="G58" i="2" l="1"/>
  <c r="G56" i="2"/>
  <c r="F119" i="2"/>
  <c r="F121" i="2" s="1"/>
  <c r="F172" i="3"/>
  <c r="G45" i="3"/>
  <c r="C46" i="3" l="1"/>
  <c r="F173" i="3"/>
  <c r="F174" i="3" l="1"/>
  <c r="E46" i="3"/>
  <c r="D46" i="3" l="1"/>
  <c r="F175" i="3"/>
  <c r="F176" i="3" l="1"/>
  <c r="G46" i="3"/>
  <c r="C47" i="3" l="1"/>
  <c r="F177" i="3"/>
  <c r="F178" i="3" l="1"/>
  <c r="E47" i="3"/>
  <c r="F179" i="3" l="1"/>
  <c r="D47" i="3"/>
  <c r="G47" i="3" l="1"/>
  <c r="F180" i="3"/>
  <c r="F181" i="3" l="1"/>
  <c r="C48" i="3"/>
  <c r="F182" i="3" l="1"/>
  <c r="E48" i="3"/>
  <c r="D48" i="3" l="1"/>
  <c r="F185" i="3"/>
  <c r="F186" i="3" l="1"/>
  <c r="G48" i="3"/>
  <c r="C49" i="3" l="1"/>
  <c r="F187" i="3"/>
  <c r="F188" i="3" l="1"/>
  <c r="E49" i="3"/>
  <c r="D49" i="3" l="1"/>
  <c r="F189" i="3"/>
  <c r="F190" i="3" l="1"/>
  <c r="G49" i="3"/>
  <c r="C50" i="3" l="1"/>
  <c r="F191" i="3"/>
  <c r="F192" i="3" l="1"/>
  <c r="E50" i="3"/>
  <c r="D50" i="3" l="1"/>
  <c r="F193" i="3"/>
  <c r="F194" i="3" l="1"/>
  <c r="G50" i="3"/>
  <c r="C51" i="3" l="1"/>
  <c r="F195" i="3"/>
  <c r="F196" i="3" l="1"/>
  <c r="E51" i="3"/>
  <c r="D51" i="3" l="1"/>
  <c r="F199" i="3"/>
  <c r="F200" i="3" l="1"/>
  <c r="G51" i="3"/>
  <c r="C52" i="3" l="1"/>
  <c r="F201" i="3"/>
  <c r="F202" i="3" l="1"/>
  <c r="E52" i="3"/>
  <c r="D52" i="3" l="1"/>
  <c r="F203" i="3"/>
  <c r="F204" i="3" l="1"/>
  <c r="G52" i="3"/>
  <c r="F205" i="3" l="1"/>
  <c r="C53" i="3"/>
  <c r="E53" i="3" l="1"/>
  <c r="F206" i="3"/>
  <c r="F207" i="3" l="1"/>
  <c r="D53" i="3"/>
  <c r="F208" i="3" l="1"/>
  <c r="G53" i="3"/>
  <c r="C54" i="3" l="1"/>
  <c r="F209" i="3"/>
  <c r="F210" i="3" l="1"/>
  <c r="E54" i="3"/>
  <c r="D54" i="3" l="1"/>
  <c r="F213" i="3"/>
  <c r="F214" i="3" l="1"/>
  <c r="G54" i="3"/>
  <c r="C55" i="3" l="1"/>
  <c r="F215" i="3"/>
  <c r="F216" i="3" l="1"/>
  <c r="E55" i="3"/>
  <c r="D55" i="3" l="1"/>
  <c r="F217" i="3"/>
  <c r="F218" i="3" l="1"/>
  <c r="G55" i="3"/>
  <c r="C56" i="3" l="1"/>
  <c r="F219" i="3"/>
  <c r="F220" i="3" l="1"/>
  <c r="E56" i="3"/>
  <c r="D56" i="3" l="1"/>
  <c r="G102" i="2"/>
  <c r="G213" i="2" s="1"/>
  <c r="E57" i="3"/>
  <c r="F221" i="3"/>
  <c r="G229" i="2" l="1"/>
  <c r="G236" i="2"/>
  <c r="F222" i="3"/>
  <c r="G77" i="2"/>
  <c r="G79" i="2" s="1"/>
  <c r="G80" i="2" s="1"/>
  <c r="D57" i="3"/>
  <c r="G56" i="3"/>
  <c r="G246" i="2" l="1"/>
  <c r="C249" i="2" s="1"/>
  <c r="G81" i="2"/>
  <c r="G83" i="2" s="1"/>
  <c r="H57" i="2" s="1"/>
  <c r="G108" i="2"/>
  <c r="C59" i="3"/>
  <c r="F223" i="3"/>
  <c r="G115" i="2" l="1"/>
  <c r="H58" i="2" s="1"/>
  <c r="G103" i="2"/>
  <c r="G105" i="2" s="1"/>
  <c r="H55" i="2" s="1"/>
  <c r="G110" i="2"/>
  <c r="F224" i="3"/>
  <c r="E59" i="3"/>
  <c r="G117" i="2" l="1"/>
  <c r="G112" i="2"/>
  <c r="D59" i="3"/>
  <c r="F227" i="3"/>
  <c r="G119" i="2" l="1"/>
  <c r="G121" i="2" s="1"/>
  <c r="H56" i="2"/>
  <c r="F228" i="3"/>
  <c r="G59" i="3"/>
  <c r="C60" i="3" l="1"/>
  <c r="F229" i="3"/>
  <c r="F230" i="3" l="1"/>
  <c r="E60" i="3"/>
  <c r="F231" i="3" l="1"/>
  <c r="D60" i="3"/>
  <c r="G60" i="3" l="1"/>
  <c r="F232" i="3"/>
  <c r="F233" i="3" l="1"/>
  <c r="C61" i="3"/>
  <c r="E61" i="3" l="1"/>
  <c r="F234" i="3"/>
  <c r="F235" i="3" l="1"/>
  <c r="D61" i="3"/>
  <c r="F236" i="3" l="1"/>
  <c r="G61" i="3"/>
  <c r="C62" i="3" l="1"/>
  <c r="F237" i="3"/>
  <c r="F238" i="3" l="1"/>
  <c r="E62" i="3"/>
  <c r="D62" i="3" l="1"/>
  <c r="F241" i="3"/>
  <c r="G62" i="3" l="1"/>
  <c r="F242" i="3"/>
  <c r="F243" i="3" l="1"/>
  <c r="C63" i="3"/>
  <c r="F244" i="3" l="1"/>
  <c r="E63" i="3"/>
  <c r="D63" i="3" l="1"/>
  <c r="F245" i="3"/>
  <c r="F246" i="3" l="1"/>
  <c r="G63" i="3"/>
  <c r="C64" i="3" l="1"/>
  <c r="F247" i="3"/>
  <c r="F248" i="3" l="1"/>
  <c r="E64" i="3"/>
  <c r="D64" i="3" l="1"/>
  <c r="F249" i="3"/>
  <c r="F250" i="3" l="1"/>
  <c r="G64" i="3"/>
  <c r="F251" i="3" l="1"/>
  <c r="C65" i="3"/>
  <c r="E65" i="3" l="1"/>
  <c r="F252" i="3"/>
  <c r="F255" i="3" l="1"/>
  <c r="D65" i="3"/>
  <c r="G65" i="3" l="1"/>
  <c r="F256" i="3"/>
  <c r="F257" i="3" l="1"/>
  <c r="C66" i="3"/>
  <c r="E66" i="3" l="1"/>
  <c r="F258" i="3"/>
  <c r="F259" i="3" l="1"/>
  <c r="D66" i="3"/>
  <c r="G66" i="3" l="1"/>
  <c r="F260" i="3"/>
  <c r="F261" i="3" l="1"/>
  <c r="C67" i="3"/>
  <c r="E67" i="3" l="1"/>
  <c r="F262" i="3"/>
  <c r="F263" i="3" l="1"/>
  <c r="D67" i="3"/>
  <c r="G67" i="3" l="1"/>
  <c r="F264" i="3"/>
  <c r="F265" i="3" l="1"/>
  <c r="C68" i="3"/>
  <c r="E68" i="3" l="1"/>
  <c r="F266" i="3"/>
  <c r="F269" i="3" l="1"/>
  <c r="D68" i="3"/>
  <c r="G68" i="3" l="1"/>
  <c r="F270" i="3"/>
  <c r="F271" i="3" l="1"/>
  <c r="C69" i="3"/>
  <c r="F272" i="3" l="1"/>
  <c r="E69" i="3"/>
  <c r="D69" i="3" l="1"/>
  <c r="F273" i="3"/>
  <c r="F274" i="3" l="1"/>
  <c r="G69" i="3"/>
  <c r="C70" i="3" l="1"/>
  <c r="F275" i="3"/>
  <c r="F276" i="3" l="1"/>
  <c r="E70" i="3"/>
  <c r="F277" i="3" l="1"/>
  <c r="D70" i="3"/>
  <c r="E71" i="3"/>
  <c r="D71" i="3" l="1"/>
  <c r="G70" i="3"/>
  <c r="F278" i="3"/>
  <c r="F279" i="3" l="1"/>
  <c r="C73" i="3"/>
  <c r="E73" i="3" l="1"/>
  <c r="F280" i="3"/>
  <c r="F283" i="3" l="1"/>
  <c r="D73" i="3"/>
  <c r="G73" i="3" l="1"/>
  <c r="F284" i="3"/>
  <c r="F285" i="3" l="1"/>
  <c r="C74" i="3"/>
  <c r="E74" i="3" l="1"/>
  <c r="F286" i="3"/>
  <c r="D74" i="3" l="1"/>
  <c r="F287" i="3"/>
  <c r="F288" i="3" l="1"/>
  <c r="G74" i="3"/>
  <c r="C75" i="3" l="1"/>
  <c r="F289" i="3"/>
  <c r="F290" i="3" l="1"/>
  <c r="E75" i="3"/>
  <c r="F291" i="3" l="1"/>
  <c r="D75" i="3"/>
  <c r="G75" i="3" l="1"/>
  <c r="F292" i="3"/>
  <c r="F293" i="3" l="1"/>
  <c r="C76" i="3"/>
  <c r="F294" i="3" l="1"/>
  <c r="E76" i="3"/>
  <c r="F297" i="3" l="1"/>
  <c r="D76" i="3"/>
  <c r="G76" i="3" l="1"/>
  <c r="F298" i="3"/>
  <c r="F299" i="3" l="1"/>
  <c r="C77" i="3"/>
  <c r="E77" i="3" l="1"/>
  <c r="F300" i="3"/>
  <c r="F301" i="3" l="1"/>
  <c r="D77" i="3"/>
  <c r="G77" i="3" l="1"/>
  <c r="F302" i="3"/>
  <c r="F303" i="3" l="1"/>
  <c r="C78" i="3"/>
  <c r="F304" i="3" l="1"/>
  <c r="E78" i="3"/>
  <c r="D78" i="3" l="1"/>
  <c r="F305" i="3"/>
  <c r="F306" i="3" l="1"/>
  <c r="G78" i="3"/>
  <c r="C79" i="3" l="1"/>
  <c r="F307" i="3"/>
  <c r="E79" i="3" l="1"/>
  <c r="F308" i="3"/>
  <c r="F311" i="3" l="1"/>
  <c r="D79" i="3"/>
  <c r="G79" i="3" l="1"/>
  <c r="F312" i="3"/>
  <c r="F313" i="3" l="1"/>
  <c r="C80" i="3"/>
  <c r="E80" i="3" l="1"/>
  <c r="F314" i="3"/>
  <c r="F315" i="3" l="1"/>
  <c r="D80" i="3"/>
  <c r="F316" i="3" l="1"/>
  <c r="G80" i="3"/>
  <c r="C81" i="3" l="1"/>
  <c r="F317" i="3"/>
  <c r="F318" i="3" l="1"/>
  <c r="E81" i="3"/>
  <c r="D81" i="3" l="1"/>
  <c r="F319" i="3"/>
  <c r="F320" i="3" l="1"/>
  <c r="G81" i="3"/>
  <c r="F321" i="3" l="1"/>
  <c r="C82" i="3"/>
  <c r="E82" i="3" l="1"/>
  <c r="F322" i="3"/>
  <c r="F325" i="3" l="1"/>
  <c r="D82" i="3"/>
  <c r="G82" i="3" l="1"/>
  <c r="F326" i="3"/>
  <c r="C83" i="3" l="1"/>
  <c r="F327" i="3"/>
  <c r="F328" i="3" l="1"/>
  <c r="E83" i="3"/>
  <c r="D83" i="3" l="1"/>
  <c r="F329" i="3"/>
  <c r="G83" i="3" l="1"/>
  <c r="F330" i="3"/>
  <c r="F331" i="3" l="1"/>
  <c r="C84" i="3"/>
  <c r="E84" i="3" l="1"/>
  <c r="F332" i="3"/>
  <c r="F333" i="3" l="1"/>
  <c r="D84" i="3"/>
  <c r="E85" i="3"/>
  <c r="D85" i="3" l="1"/>
  <c r="G84" i="3"/>
  <c r="F334" i="3"/>
  <c r="C87" i="3" l="1"/>
  <c r="F335" i="3"/>
  <c r="F336" i="3" l="1"/>
  <c r="E87" i="3"/>
  <c r="D87" i="3" l="1"/>
  <c r="F339" i="3"/>
  <c r="F340" i="3" l="1"/>
  <c r="G87" i="3"/>
  <c r="C88" i="3" l="1"/>
  <c r="F341" i="3"/>
  <c r="F342" i="3" l="1"/>
  <c r="E88" i="3"/>
  <c r="D88" i="3" l="1"/>
  <c r="F343" i="3"/>
  <c r="F344" i="3" l="1"/>
  <c r="G88" i="3"/>
  <c r="C89" i="3" l="1"/>
  <c r="F345" i="3"/>
  <c r="F346" i="3" l="1"/>
  <c r="E89" i="3"/>
  <c r="D89" i="3" l="1"/>
  <c r="F347" i="3"/>
  <c r="F348" i="3" l="1"/>
  <c r="G89" i="3"/>
  <c r="C90" i="3" l="1"/>
  <c r="F349" i="3"/>
  <c r="F350" i="3" l="1"/>
  <c r="E90" i="3"/>
  <c r="D90" i="3" l="1"/>
  <c r="F353" i="3"/>
  <c r="G90" i="3" l="1"/>
  <c r="F354" i="3"/>
  <c r="F355" i="3" l="1"/>
  <c r="C91" i="3"/>
  <c r="E91" i="3" l="1"/>
  <c r="F356" i="3"/>
  <c r="F357" i="3" l="1"/>
  <c r="D91" i="3"/>
  <c r="G91" i="3" l="1"/>
  <c r="F358" i="3"/>
  <c r="F359" i="3" l="1"/>
  <c r="C92" i="3"/>
  <c r="E92" i="3" l="1"/>
  <c r="F360" i="3"/>
  <c r="F361" i="3" l="1"/>
  <c r="D92" i="3"/>
  <c r="G92" i="3" l="1"/>
  <c r="F362" i="3"/>
  <c r="F363" i="3" l="1"/>
  <c r="C93" i="3"/>
  <c r="E93" i="3" l="1"/>
  <c r="F364" i="3"/>
  <c r="F367" i="3" l="1"/>
  <c r="D93" i="3"/>
  <c r="G93" i="3" l="1"/>
  <c r="F368" i="3"/>
  <c r="F369" i="3" l="1"/>
  <c r="C94" i="3"/>
  <c r="F370" i="3" l="1"/>
  <c r="E94" i="3"/>
  <c r="D94" i="3" l="1"/>
  <c r="F371" i="3"/>
  <c r="F372" i="3" l="1"/>
  <c r="G94" i="3"/>
  <c r="F373" i="3" l="1"/>
  <c r="C95" i="3"/>
  <c r="E95" i="3" l="1"/>
  <c r="F374" i="3"/>
  <c r="F375" i="3" l="1"/>
  <c r="D95" i="3"/>
  <c r="G95" i="3" l="1"/>
  <c r="F376" i="3"/>
  <c r="F377" i="3" l="1"/>
  <c r="C96" i="3"/>
  <c r="E96" i="3" l="1"/>
  <c r="F378" i="3"/>
  <c r="F381" i="3" l="1"/>
  <c r="D96" i="3"/>
  <c r="G96" i="3" l="1"/>
  <c r="F382" i="3"/>
  <c r="C97" i="3" l="1"/>
  <c r="F383" i="3"/>
  <c r="F384" i="3" l="1"/>
  <c r="E97" i="3"/>
  <c r="F385" i="3" l="1"/>
  <c r="D97" i="3"/>
  <c r="F386" i="3" l="1"/>
  <c r="G97" i="3"/>
  <c r="F387" i="3" l="1"/>
  <c r="C98" i="3"/>
  <c r="E98" i="3" l="1"/>
  <c r="F388" i="3"/>
  <c r="F389" i="3" l="1"/>
  <c r="D98" i="3"/>
  <c r="E99" i="3"/>
  <c r="D99" i="3" l="1"/>
  <c r="G98" i="3"/>
  <c r="F390" i="3"/>
  <c r="F391" i="3" l="1"/>
  <c r="C101" i="3"/>
  <c r="E101" i="3" l="1"/>
  <c r="D101" i="3" s="1"/>
  <c r="F392" i="3"/>
  <c r="F395" i="3" l="1"/>
  <c r="G101" i="3"/>
  <c r="C102" i="3" l="1"/>
  <c r="F396" i="3"/>
  <c r="F397" i="3" l="1"/>
  <c r="E102" i="3"/>
  <c r="D102" i="3" l="1"/>
  <c r="F398" i="3"/>
  <c r="F399" i="3" l="1"/>
  <c r="G102" i="3"/>
  <c r="C103" i="3" l="1"/>
  <c r="F400" i="3"/>
  <c r="F401" i="3" l="1"/>
  <c r="E103" i="3"/>
  <c r="D103" i="3" l="1"/>
  <c r="F402" i="3"/>
  <c r="F403" i="3" l="1"/>
  <c r="G103" i="3"/>
  <c r="C104" i="3" l="1"/>
  <c r="F404" i="3"/>
  <c r="F405" i="3" l="1"/>
  <c r="E104" i="3"/>
  <c r="F406" i="3" l="1"/>
  <c r="D104" i="3"/>
  <c r="G104" i="3" l="1"/>
  <c r="F409" i="3"/>
  <c r="C105" i="3" l="1"/>
  <c r="F410" i="3"/>
  <c r="F411" i="3" l="1"/>
  <c r="E105" i="3"/>
  <c r="D105" i="3" l="1"/>
  <c r="F412" i="3"/>
  <c r="F413" i="3" l="1"/>
  <c r="G105" i="3"/>
  <c r="C106" i="3" l="1"/>
  <c r="F414" i="3"/>
  <c r="F415" i="3" l="1"/>
  <c r="E106" i="3"/>
  <c r="D106" i="3" l="1"/>
  <c r="F416" i="3"/>
  <c r="F417" i="3" l="1"/>
  <c r="G106" i="3"/>
  <c r="C107" i="3" l="1"/>
  <c r="F418" i="3"/>
  <c r="E107" i="3" l="1"/>
  <c r="F419" i="3"/>
  <c r="F420" i="3" l="1"/>
  <c r="D107" i="3"/>
  <c r="G107" i="3" l="1"/>
  <c r="C108" i="3" l="1"/>
  <c r="E108" i="3" l="1"/>
  <c r="D108" i="3" l="1"/>
  <c r="G108" i="3" l="1"/>
  <c r="C109" i="3" l="1"/>
  <c r="E109" i="3" l="1"/>
  <c r="D109" i="3" l="1"/>
  <c r="G109" i="3" l="1"/>
  <c r="C110" i="3" l="1"/>
  <c r="E110" i="3" l="1"/>
  <c r="D110" i="3" l="1"/>
  <c r="G110" i="3" l="1"/>
  <c r="C111" i="3" l="1"/>
  <c r="E111" i="3" l="1"/>
  <c r="D111" i="3" l="1"/>
  <c r="G111" i="3" l="1"/>
  <c r="C112" i="3" l="1"/>
  <c r="E112" i="3" l="1"/>
  <c r="D112" i="3" l="1"/>
  <c r="E113" i="3"/>
  <c r="D113" i="3" l="1"/>
  <c r="G112" i="3"/>
  <c r="C115" i="3" l="1"/>
  <c r="E115" i="3" l="1"/>
  <c r="D115" i="3" l="1"/>
  <c r="G115" i="3" l="1"/>
  <c r="C116" i="3" l="1"/>
  <c r="E116" i="3" l="1"/>
  <c r="D116" i="3" l="1"/>
  <c r="G116" i="3" l="1"/>
  <c r="C117" i="3" l="1"/>
  <c r="E117" i="3" l="1"/>
  <c r="D117" i="3" l="1"/>
  <c r="G117" i="3" l="1"/>
  <c r="C118" i="3" l="1"/>
  <c r="E118" i="3" l="1"/>
  <c r="D118" i="3" l="1"/>
  <c r="G118" i="3" l="1"/>
  <c r="C119" i="3" l="1"/>
  <c r="E119" i="3" l="1"/>
  <c r="D119" i="3" l="1"/>
  <c r="G119" i="3" l="1"/>
  <c r="C120" i="3" l="1"/>
  <c r="E120" i="3" l="1"/>
  <c r="D120" i="3" l="1"/>
  <c r="G120" i="3" l="1"/>
  <c r="C121" i="3" l="1"/>
  <c r="E121" i="3" l="1"/>
  <c r="D121" i="3" l="1"/>
  <c r="G121" i="3" l="1"/>
  <c r="C122" i="3" l="1"/>
  <c r="E122" i="3" l="1"/>
  <c r="D122" i="3" l="1"/>
  <c r="G122" i="3" l="1"/>
  <c r="C123" i="3" l="1"/>
  <c r="E123" i="3" l="1"/>
  <c r="D123" i="3" l="1"/>
  <c r="G123" i="3" l="1"/>
  <c r="C124" i="3" l="1"/>
  <c r="E124" i="3" l="1"/>
  <c r="D124" i="3" l="1"/>
  <c r="G124" i="3" l="1"/>
  <c r="C125" i="3" l="1"/>
  <c r="E125" i="3" l="1"/>
  <c r="D125" i="3" l="1"/>
  <c r="G125" i="3" l="1"/>
  <c r="C126" i="3" l="1"/>
  <c r="E126" i="3" l="1"/>
  <c r="D126" i="3" l="1"/>
  <c r="E127" i="3"/>
  <c r="D127" i="3" l="1"/>
  <c r="G126" i="3"/>
  <c r="C129" i="3" l="1"/>
  <c r="E129" i="3" l="1"/>
  <c r="D129" i="3" l="1"/>
  <c r="G129" i="3" l="1"/>
  <c r="C130" i="3" l="1"/>
  <c r="E130" i="3" l="1"/>
  <c r="D130" i="3" l="1"/>
  <c r="G130" i="3" l="1"/>
  <c r="C131" i="3" l="1"/>
  <c r="E131" i="3" l="1"/>
  <c r="D131" i="3" l="1"/>
  <c r="G131" i="3" l="1"/>
  <c r="C132" i="3" l="1"/>
  <c r="E132" i="3" l="1"/>
  <c r="D132" i="3" l="1"/>
  <c r="G132" i="3" l="1"/>
  <c r="C133" i="3" l="1"/>
  <c r="E133" i="3" l="1"/>
  <c r="D133" i="3" l="1"/>
  <c r="G133" i="3" l="1"/>
  <c r="C134" i="3" l="1"/>
  <c r="E134" i="3" l="1"/>
  <c r="D134" i="3" l="1"/>
  <c r="G134" i="3" l="1"/>
  <c r="C135" i="3" l="1"/>
  <c r="E135" i="3" l="1"/>
  <c r="D135" i="3" l="1"/>
  <c r="G135" i="3" l="1"/>
  <c r="C136" i="3" l="1"/>
  <c r="E136" i="3" l="1"/>
  <c r="D136" i="3" l="1"/>
  <c r="G136" i="3" l="1"/>
  <c r="C137" i="3" l="1"/>
  <c r="E137" i="3" l="1"/>
  <c r="D137" i="3" l="1"/>
  <c r="G137" i="3" l="1"/>
  <c r="C138" i="3" l="1"/>
  <c r="E138" i="3" l="1"/>
  <c r="D138" i="3" l="1"/>
  <c r="G138" i="3" l="1"/>
  <c r="C139" i="3" l="1"/>
  <c r="E139" i="3" l="1"/>
  <c r="D139" i="3" l="1"/>
  <c r="G139" i="3" l="1"/>
  <c r="C140" i="3" l="1"/>
  <c r="E140" i="3" l="1"/>
  <c r="D140" i="3" l="1"/>
  <c r="E141" i="3"/>
  <c r="D141" i="3" l="1"/>
  <c r="G140" i="3"/>
  <c r="C143" i="3" l="1"/>
  <c r="E143" i="3" l="1"/>
  <c r="D143" i="3" l="1"/>
  <c r="G143" i="3" l="1"/>
  <c r="C144" i="3" l="1"/>
  <c r="E144" i="3" l="1"/>
  <c r="D144" i="3" l="1"/>
  <c r="G144" i="3" l="1"/>
  <c r="C145" i="3" l="1"/>
  <c r="E145" i="3" l="1"/>
  <c r="D145" i="3" l="1"/>
  <c r="G145" i="3" l="1"/>
  <c r="C146" i="3" l="1"/>
  <c r="E146" i="3" l="1"/>
  <c r="D146" i="3" l="1"/>
  <c r="G146" i="3" l="1"/>
  <c r="C147" i="3" l="1"/>
  <c r="E147" i="3" l="1"/>
  <c r="D147" i="3" l="1"/>
  <c r="G147" i="3" l="1"/>
  <c r="C148" i="3" l="1"/>
  <c r="E148" i="3" l="1"/>
  <c r="D148" i="3" l="1"/>
  <c r="G148" i="3" l="1"/>
  <c r="C149" i="3" l="1"/>
  <c r="E149" i="3" l="1"/>
  <c r="D149" i="3" l="1"/>
  <c r="G149" i="3" l="1"/>
  <c r="C150" i="3" l="1"/>
  <c r="E150" i="3" l="1"/>
  <c r="D150" i="3" l="1"/>
  <c r="G150" i="3" l="1"/>
  <c r="C151" i="3" l="1"/>
  <c r="E151" i="3" l="1"/>
  <c r="D151" i="3" l="1"/>
  <c r="G151" i="3" l="1"/>
  <c r="C152" i="3" l="1"/>
  <c r="E152" i="3" l="1"/>
  <c r="D152" i="3" l="1"/>
  <c r="G152" i="3" l="1"/>
  <c r="C153" i="3" l="1"/>
  <c r="E153" i="3" l="1"/>
  <c r="D153" i="3" l="1"/>
  <c r="G153" i="3" l="1"/>
  <c r="C154" i="3" l="1"/>
  <c r="E154" i="3" l="1"/>
  <c r="D154" i="3" l="1"/>
  <c r="E155" i="3"/>
  <c r="D155" i="3" l="1"/>
  <c r="G154" i="3"/>
  <c r="C157" i="3" l="1"/>
  <c r="E157" i="3" l="1"/>
  <c r="D157" i="3" l="1"/>
  <c r="G157" i="3" l="1"/>
  <c r="C158" i="3" l="1"/>
  <c r="E158" i="3" l="1"/>
  <c r="D158" i="3" l="1"/>
  <c r="G158" i="3" l="1"/>
  <c r="C159" i="3" l="1"/>
  <c r="E159" i="3" l="1"/>
  <c r="D159" i="3" l="1"/>
  <c r="G159" i="3" l="1"/>
  <c r="C160" i="3" l="1"/>
  <c r="E160" i="3" l="1"/>
  <c r="D160" i="3" l="1"/>
  <c r="G160" i="3" l="1"/>
  <c r="C161" i="3" l="1"/>
  <c r="E161" i="3" l="1"/>
  <c r="D161" i="3" l="1"/>
  <c r="G161" i="3" l="1"/>
  <c r="C162" i="3" l="1"/>
  <c r="E162" i="3" l="1"/>
  <c r="D162" i="3" l="1"/>
  <c r="G162" i="3" l="1"/>
  <c r="C163" i="3" l="1"/>
  <c r="E163" i="3" l="1"/>
  <c r="D163" i="3" l="1"/>
  <c r="G163" i="3" l="1"/>
  <c r="C164" i="3" l="1"/>
  <c r="E164" i="3" l="1"/>
  <c r="D164" i="3" l="1"/>
  <c r="G164" i="3" l="1"/>
  <c r="C165" i="3" l="1"/>
  <c r="E165" i="3" l="1"/>
  <c r="D165" i="3" l="1"/>
  <c r="G165" i="3" l="1"/>
  <c r="C166" i="3" l="1"/>
  <c r="E166" i="3" l="1"/>
  <c r="D166" i="3" l="1"/>
  <c r="G166" i="3" l="1"/>
  <c r="C167" i="3" l="1"/>
  <c r="E167" i="3" l="1"/>
  <c r="D167" i="3" l="1"/>
  <c r="G167" i="3" l="1"/>
  <c r="C168" i="3" l="1"/>
  <c r="E168" i="3" l="1"/>
  <c r="D168" i="3" l="1"/>
  <c r="E169" i="3"/>
  <c r="D169" i="3" l="1"/>
  <c r="G168" i="3"/>
  <c r="C171" i="3" l="1"/>
  <c r="E171" i="3" l="1"/>
  <c r="D171" i="3" l="1"/>
  <c r="G171" i="3" l="1"/>
  <c r="C172" i="3" l="1"/>
  <c r="E172" i="3" l="1"/>
  <c r="D172" i="3" l="1"/>
  <c r="G172" i="3" l="1"/>
  <c r="C173" i="3" l="1"/>
  <c r="E173" i="3" l="1"/>
  <c r="D173" i="3" l="1"/>
  <c r="G173" i="3" l="1"/>
  <c r="C174" i="3" l="1"/>
  <c r="E174" i="3" l="1"/>
  <c r="D174" i="3" l="1"/>
  <c r="G174" i="3" l="1"/>
  <c r="C175" i="3" l="1"/>
  <c r="E175" i="3" l="1"/>
  <c r="D175" i="3" l="1"/>
  <c r="G175" i="3" l="1"/>
  <c r="C176" i="3" l="1"/>
  <c r="E176" i="3" l="1"/>
  <c r="D176" i="3" l="1"/>
  <c r="G176" i="3" l="1"/>
  <c r="C177" i="3" l="1"/>
  <c r="E177" i="3" l="1"/>
  <c r="D177" i="3" l="1"/>
  <c r="G177" i="3" l="1"/>
  <c r="C178" i="3" l="1"/>
  <c r="E178" i="3" l="1"/>
  <c r="D178" i="3" l="1"/>
  <c r="G178" i="3" l="1"/>
  <c r="C179" i="3" l="1"/>
  <c r="E179" i="3" l="1"/>
  <c r="D179" i="3" l="1"/>
  <c r="G179" i="3" l="1"/>
  <c r="C180" i="3" l="1"/>
  <c r="E180" i="3" l="1"/>
  <c r="D180" i="3" l="1"/>
  <c r="G180" i="3" l="1"/>
  <c r="C181" i="3" l="1"/>
  <c r="E181" i="3" l="1"/>
  <c r="D181" i="3" l="1"/>
  <c r="G181" i="3" l="1"/>
  <c r="C182" i="3" l="1"/>
  <c r="E182" i="3" l="1"/>
  <c r="D182" i="3" l="1"/>
  <c r="E183" i="3"/>
  <c r="D183" i="3" l="1"/>
  <c r="G182" i="3"/>
  <c r="C185" i="3" l="1"/>
  <c r="E185" i="3" l="1"/>
  <c r="D185" i="3" l="1"/>
  <c r="G185" i="3" l="1"/>
  <c r="C186" i="3" l="1"/>
  <c r="E186" i="3" l="1"/>
  <c r="D186" i="3" l="1"/>
  <c r="G186" i="3" l="1"/>
  <c r="C187" i="3" l="1"/>
  <c r="E187" i="3" l="1"/>
  <c r="D187" i="3" l="1"/>
  <c r="G187" i="3" l="1"/>
  <c r="C188" i="3" l="1"/>
  <c r="E188" i="3" l="1"/>
  <c r="D188" i="3" l="1"/>
  <c r="G188" i="3" l="1"/>
  <c r="C189" i="3" l="1"/>
  <c r="E189" i="3" l="1"/>
  <c r="D189" i="3" l="1"/>
  <c r="G189" i="3" l="1"/>
  <c r="C190" i="3" l="1"/>
  <c r="E190" i="3" l="1"/>
  <c r="D190" i="3" l="1"/>
  <c r="G190" i="3" l="1"/>
  <c r="C191" i="3" l="1"/>
  <c r="E191" i="3" l="1"/>
  <c r="D191" i="3" l="1"/>
  <c r="G191" i="3" l="1"/>
  <c r="C192" i="3" l="1"/>
  <c r="E192" i="3" l="1"/>
  <c r="D192" i="3" l="1"/>
  <c r="G192" i="3" l="1"/>
  <c r="C193" i="3" l="1"/>
  <c r="E193" i="3" l="1"/>
  <c r="D193" i="3" l="1"/>
  <c r="G193" i="3" l="1"/>
  <c r="C194" i="3" l="1"/>
  <c r="E194" i="3" l="1"/>
  <c r="D194" i="3" l="1"/>
  <c r="G194" i="3" l="1"/>
  <c r="C195" i="3" l="1"/>
  <c r="E195" i="3" l="1"/>
  <c r="D195" i="3" l="1"/>
  <c r="G195" i="3" l="1"/>
  <c r="C196" i="3" l="1"/>
  <c r="E196" i="3" l="1"/>
  <c r="D196" i="3" l="1"/>
  <c r="E197" i="3"/>
  <c r="D197" i="3" l="1"/>
  <c r="G196" i="3"/>
  <c r="C199" i="3" l="1"/>
  <c r="E199" i="3" l="1"/>
  <c r="D199" i="3" l="1"/>
  <c r="G199" i="3" l="1"/>
  <c r="C200" i="3" l="1"/>
  <c r="E200" i="3" l="1"/>
  <c r="D200" i="3" l="1"/>
  <c r="G200" i="3" l="1"/>
  <c r="C201" i="3" l="1"/>
  <c r="E201" i="3" l="1"/>
  <c r="D201" i="3" l="1"/>
  <c r="G201" i="3" l="1"/>
  <c r="C202" i="3" l="1"/>
  <c r="E202" i="3" l="1"/>
  <c r="D202" i="3" l="1"/>
  <c r="G202" i="3" l="1"/>
  <c r="C203" i="3" l="1"/>
  <c r="E203" i="3" l="1"/>
  <c r="D203" i="3" l="1"/>
  <c r="G203" i="3" l="1"/>
  <c r="C204" i="3" l="1"/>
  <c r="E204" i="3" l="1"/>
  <c r="D204" i="3" l="1"/>
  <c r="G204" i="3" l="1"/>
  <c r="C205" i="3" l="1"/>
  <c r="E205" i="3" l="1"/>
  <c r="D205" i="3" l="1"/>
  <c r="G205" i="3" l="1"/>
  <c r="C206" i="3" l="1"/>
  <c r="E206" i="3" l="1"/>
  <c r="D206" i="3" l="1"/>
  <c r="G206" i="3" l="1"/>
  <c r="C207" i="3" l="1"/>
  <c r="E207" i="3" l="1"/>
  <c r="D207" i="3" l="1"/>
  <c r="G207" i="3" l="1"/>
  <c r="C208" i="3" l="1"/>
  <c r="E208" i="3" l="1"/>
  <c r="D208" i="3" l="1"/>
  <c r="G208" i="3" l="1"/>
  <c r="C209" i="3" l="1"/>
  <c r="E209" i="3" l="1"/>
  <c r="D209" i="3" l="1"/>
  <c r="G209" i="3" l="1"/>
  <c r="C210" i="3" l="1"/>
  <c r="E210" i="3" l="1"/>
  <c r="D210" i="3" l="1"/>
  <c r="E211" i="3"/>
  <c r="D211" i="3" l="1"/>
  <c r="G210" i="3"/>
  <c r="C213" i="3" l="1"/>
  <c r="E213" i="3" l="1"/>
  <c r="D213" i="3" l="1"/>
  <c r="G213" i="3" l="1"/>
  <c r="C214" i="3" l="1"/>
  <c r="E214" i="3" l="1"/>
  <c r="D214" i="3" l="1"/>
  <c r="G214" i="3" l="1"/>
  <c r="C215" i="3" l="1"/>
  <c r="E215" i="3" l="1"/>
  <c r="D215" i="3" l="1"/>
  <c r="G215" i="3" l="1"/>
  <c r="C216" i="3" l="1"/>
  <c r="E216" i="3" l="1"/>
  <c r="D216" i="3" l="1"/>
  <c r="G216" i="3" l="1"/>
  <c r="C217" i="3" l="1"/>
  <c r="E217" i="3" l="1"/>
  <c r="D217" i="3" l="1"/>
  <c r="G217" i="3" l="1"/>
  <c r="C218" i="3" l="1"/>
  <c r="E218" i="3" l="1"/>
  <c r="D218" i="3" l="1"/>
  <c r="G218" i="3" l="1"/>
  <c r="C219" i="3" l="1"/>
  <c r="E219" i="3" l="1"/>
  <c r="D219" i="3" l="1"/>
  <c r="G219" i="3" l="1"/>
  <c r="C220" i="3" l="1"/>
  <c r="E220" i="3" l="1"/>
  <c r="D220" i="3" l="1"/>
  <c r="G220" i="3" l="1"/>
  <c r="C221" i="3" l="1"/>
  <c r="E221" i="3" l="1"/>
  <c r="D221" i="3" l="1"/>
  <c r="G221" i="3" l="1"/>
  <c r="C222" i="3" l="1"/>
  <c r="E222" i="3" l="1"/>
  <c r="D222" i="3" l="1"/>
  <c r="G222" i="3" l="1"/>
  <c r="C223" i="3" l="1"/>
  <c r="E223" i="3" l="1"/>
  <c r="D223" i="3" l="1"/>
  <c r="G223" i="3" l="1"/>
  <c r="C224" i="3" l="1"/>
  <c r="E224" i="3" l="1"/>
  <c r="D224" i="3" l="1"/>
  <c r="E225" i="3"/>
  <c r="D225" i="3" l="1"/>
  <c r="G224" i="3"/>
  <c r="C227" i="3" l="1"/>
  <c r="E227" i="3" l="1"/>
  <c r="D227" i="3" l="1"/>
  <c r="G227" i="3" l="1"/>
  <c r="C228" i="3" l="1"/>
  <c r="E228" i="3" l="1"/>
  <c r="D228" i="3" l="1"/>
  <c r="G228" i="3" l="1"/>
  <c r="C229" i="3" l="1"/>
  <c r="E229" i="3" l="1"/>
  <c r="D229" i="3" l="1"/>
  <c r="G229" i="3" l="1"/>
  <c r="C230" i="3" l="1"/>
  <c r="E230" i="3" l="1"/>
  <c r="D230" i="3" l="1"/>
  <c r="G230" i="3" l="1"/>
  <c r="C231" i="3" l="1"/>
  <c r="E231" i="3" l="1"/>
  <c r="D231" i="3" l="1"/>
  <c r="G231" i="3" l="1"/>
  <c r="C232" i="3" l="1"/>
  <c r="E232" i="3" l="1"/>
  <c r="D232" i="3" l="1"/>
  <c r="G232" i="3" l="1"/>
  <c r="C233" i="3" l="1"/>
  <c r="E233" i="3" l="1"/>
  <c r="D233" i="3" l="1"/>
  <c r="G233" i="3" l="1"/>
  <c r="C234" i="3" l="1"/>
  <c r="E234" i="3" l="1"/>
  <c r="D234" i="3" l="1"/>
  <c r="G234" i="3" l="1"/>
  <c r="C235" i="3" l="1"/>
  <c r="E235" i="3" l="1"/>
  <c r="D235" i="3" l="1"/>
  <c r="G235" i="3" l="1"/>
  <c r="C236" i="3" l="1"/>
  <c r="E236" i="3" l="1"/>
  <c r="D236" i="3" l="1"/>
  <c r="G236" i="3" l="1"/>
  <c r="C237" i="3" l="1"/>
  <c r="E237" i="3" l="1"/>
  <c r="D237" i="3" l="1"/>
  <c r="G237" i="3" l="1"/>
  <c r="C238" i="3" l="1"/>
  <c r="E238" i="3" l="1"/>
  <c r="D238" i="3" l="1"/>
  <c r="E239" i="3"/>
  <c r="D239" i="3" l="1"/>
  <c r="G238" i="3"/>
  <c r="C241" i="3" l="1"/>
  <c r="E241" i="3" l="1"/>
  <c r="D241" i="3" l="1"/>
  <c r="G241" i="3" l="1"/>
  <c r="C242" i="3" l="1"/>
  <c r="E242" i="3" l="1"/>
  <c r="D242" i="3" l="1"/>
  <c r="G242" i="3" l="1"/>
  <c r="C243" i="3" l="1"/>
  <c r="E243" i="3" l="1"/>
  <c r="D243" i="3" l="1"/>
  <c r="G243" i="3" l="1"/>
  <c r="C244" i="3" l="1"/>
  <c r="E244" i="3" l="1"/>
  <c r="D244" i="3" l="1"/>
  <c r="G244" i="3" l="1"/>
  <c r="C245" i="3" l="1"/>
  <c r="E245" i="3" l="1"/>
  <c r="D245" i="3" l="1"/>
  <c r="G245" i="3" l="1"/>
  <c r="C246" i="3" l="1"/>
  <c r="E246" i="3" l="1"/>
  <c r="D246" i="3" l="1"/>
  <c r="G246" i="3" l="1"/>
  <c r="C247" i="3" l="1"/>
  <c r="E247" i="3" l="1"/>
  <c r="D247" i="3" l="1"/>
  <c r="G247" i="3" l="1"/>
  <c r="C248" i="3" l="1"/>
  <c r="E248" i="3" l="1"/>
  <c r="D248" i="3" l="1"/>
  <c r="G248" i="3" l="1"/>
  <c r="C249" i="3" l="1"/>
  <c r="E249" i="3" l="1"/>
  <c r="D249" i="3" l="1"/>
  <c r="G249" i="3" l="1"/>
  <c r="C250" i="3" l="1"/>
  <c r="E250" i="3" l="1"/>
  <c r="D250" i="3" l="1"/>
  <c r="G250" i="3" l="1"/>
  <c r="C251" i="3" l="1"/>
  <c r="E251" i="3" l="1"/>
  <c r="D251" i="3" l="1"/>
  <c r="G251" i="3" l="1"/>
  <c r="C252" i="3" l="1"/>
  <c r="E252" i="3" l="1"/>
  <c r="D252" i="3" l="1"/>
  <c r="E253" i="3"/>
  <c r="D253" i="3" l="1"/>
  <c r="G252" i="3"/>
  <c r="C255" i="3" l="1"/>
  <c r="E255" i="3" l="1"/>
  <c r="D255" i="3" l="1"/>
  <c r="G255" i="3" l="1"/>
  <c r="C256" i="3" l="1"/>
  <c r="E256" i="3" l="1"/>
  <c r="D256" i="3" l="1"/>
  <c r="G256" i="3" l="1"/>
  <c r="C257" i="3" l="1"/>
  <c r="E257" i="3" l="1"/>
  <c r="D257" i="3" l="1"/>
  <c r="G257" i="3" l="1"/>
  <c r="C258" i="3" l="1"/>
  <c r="E258" i="3" l="1"/>
  <c r="D258" i="3" l="1"/>
  <c r="G258" i="3" l="1"/>
  <c r="C259" i="3" l="1"/>
  <c r="E259" i="3" l="1"/>
  <c r="D259" i="3" l="1"/>
  <c r="G259" i="3" l="1"/>
  <c r="C260" i="3" l="1"/>
  <c r="E260" i="3" l="1"/>
  <c r="D260" i="3" l="1"/>
  <c r="G260" i="3" l="1"/>
  <c r="C261" i="3" l="1"/>
  <c r="E261" i="3" l="1"/>
  <c r="D261" i="3" l="1"/>
  <c r="G261" i="3" l="1"/>
  <c r="C262" i="3" l="1"/>
  <c r="E262" i="3" l="1"/>
  <c r="D262" i="3" l="1"/>
  <c r="G262" i="3" l="1"/>
  <c r="C263" i="3" l="1"/>
  <c r="E263" i="3" l="1"/>
  <c r="D263" i="3" l="1"/>
  <c r="G263" i="3" l="1"/>
  <c r="C264" i="3" l="1"/>
  <c r="E264" i="3" l="1"/>
  <c r="D264" i="3" l="1"/>
  <c r="G264" i="3" l="1"/>
  <c r="C265" i="3" l="1"/>
  <c r="E265" i="3" l="1"/>
  <c r="D265" i="3" l="1"/>
  <c r="G265" i="3" l="1"/>
  <c r="C266" i="3" l="1"/>
  <c r="E266" i="3" l="1"/>
  <c r="D266" i="3" l="1"/>
  <c r="E267" i="3"/>
  <c r="D267" i="3" l="1"/>
  <c r="G266" i="3"/>
  <c r="C269" i="3" l="1"/>
  <c r="E269" i="3" l="1"/>
  <c r="D269" i="3" l="1"/>
  <c r="G269" i="3" l="1"/>
  <c r="C270" i="3" l="1"/>
  <c r="E270" i="3" l="1"/>
  <c r="D270" i="3" l="1"/>
  <c r="G270" i="3" l="1"/>
  <c r="C271" i="3" l="1"/>
  <c r="E271" i="3" l="1"/>
  <c r="D271" i="3" l="1"/>
  <c r="G271" i="3" l="1"/>
  <c r="C272" i="3" l="1"/>
  <c r="E272" i="3" l="1"/>
  <c r="D272" i="3" l="1"/>
  <c r="G272" i="3" l="1"/>
  <c r="C273" i="3" l="1"/>
  <c r="E273" i="3" l="1"/>
  <c r="D273" i="3" l="1"/>
  <c r="G273" i="3" l="1"/>
  <c r="C274" i="3" l="1"/>
  <c r="E274" i="3" l="1"/>
  <c r="D274" i="3" l="1"/>
  <c r="G274" i="3" l="1"/>
  <c r="C275" i="3" l="1"/>
  <c r="E275" i="3" l="1"/>
  <c r="D275" i="3" l="1"/>
  <c r="G275" i="3" l="1"/>
  <c r="C276" i="3" l="1"/>
  <c r="E276" i="3" l="1"/>
  <c r="D276" i="3" l="1"/>
  <c r="G276" i="3" l="1"/>
  <c r="C277" i="3" l="1"/>
  <c r="E277" i="3" l="1"/>
  <c r="D277" i="3" l="1"/>
  <c r="G277" i="3" l="1"/>
  <c r="C278" i="3" l="1"/>
  <c r="E278" i="3" l="1"/>
  <c r="D278" i="3" l="1"/>
  <c r="G278" i="3" l="1"/>
  <c r="C279" i="3" l="1"/>
  <c r="E279" i="3" l="1"/>
  <c r="D279" i="3" l="1"/>
  <c r="G279" i="3" l="1"/>
  <c r="C280" i="3" l="1"/>
  <c r="E280" i="3" l="1"/>
  <c r="D280" i="3" l="1"/>
  <c r="E281" i="3"/>
  <c r="D281" i="3" l="1"/>
  <c r="G280" i="3"/>
  <c r="C283" i="3" l="1"/>
  <c r="E283" i="3" l="1"/>
  <c r="D283" i="3" l="1"/>
  <c r="G283" i="3" l="1"/>
  <c r="C284" i="3" l="1"/>
  <c r="E284" i="3" l="1"/>
  <c r="D284" i="3" l="1"/>
  <c r="G284" i="3" l="1"/>
  <c r="C285" i="3" l="1"/>
  <c r="E285" i="3" l="1"/>
  <c r="D285" i="3" l="1"/>
  <c r="G285" i="3" l="1"/>
  <c r="C286" i="3" l="1"/>
  <c r="E286" i="3" l="1"/>
  <c r="D286" i="3" l="1"/>
  <c r="G286" i="3" l="1"/>
  <c r="C287" i="3" l="1"/>
  <c r="E287" i="3" l="1"/>
  <c r="D287" i="3" l="1"/>
  <c r="G287" i="3" l="1"/>
  <c r="C288" i="3" l="1"/>
  <c r="E288" i="3" l="1"/>
  <c r="D288" i="3" l="1"/>
  <c r="G288" i="3" l="1"/>
  <c r="C289" i="3" l="1"/>
  <c r="E289" i="3" l="1"/>
  <c r="D289" i="3" l="1"/>
  <c r="G289" i="3" l="1"/>
  <c r="C290" i="3" l="1"/>
  <c r="E290" i="3" l="1"/>
  <c r="D290" i="3" l="1"/>
  <c r="G290" i="3" l="1"/>
  <c r="C291" i="3" l="1"/>
  <c r="E291" i="3" l="1"/>
  <c r="D291" i="3" l="1"/>
  <c r="G291" i="3" l="1"/>
  <c r="C292" i="3" l="1"/>
  <c r="E292" i="3" l="1"/>
  <c r="D292" i="3" l="1"/>
  <c r="G292" i="3" l="1"/>
  <c r="C293" i="3" l="1"/>
  <c r="E293" i="3" l="1"/>
  <c r="D293" i="3" l="1"/>
  <c r="G293" i="3" l="1"/>
  <c r="C294" i="3" l="1"/>
  <c r="E294" i="3" l="1"/>
  <c r="D294" i="3" l="1"/>
  <c r="E295" i="3"/>
  <c r="D295" i="3" l="1"/>
  <c r="G294" i="3"/>
  <c r="C297" i="3" l="1"/>
  <c r="E297" i="3" l="1"/>
  <c r="D297" i="3" l="1"/>
  <c r="G297" i="3" l="1"/>
  <c r="C298" i="3" l="1"/>
  <c r="E298" i="3" l="1"/>
  <c r="D298" i="3" l="1"/>
  <c r="G298" i="3" l="1"/>
  <c r="C299" i="3" l="1"/>
  <c r="E299" i="3" l="1"/>
  <c r="D299" i="3" l="1"/>
  <c r="G299" i="3" l="1"/>
  <c r="C300" i="3" l="1"/>
  <c r="E300" i="3" l="1"/>
  <c r="D300" i="3" l="1"/>
  <c r="G300" i="3" l="1"/>
  <c r="C301" i="3" l="1"/>
  <c r="E301" i="3" l="1"/>
  <c r="D301" i="3" l="1"/>
  <c r="G301" i="3" l="1"/>
  <c r="C302" i="3" l="1"/>
  <c r="E302" i="3" l="1"/>
  <c r="D302" i="3" l="1"/>
  <c r="G302" i="3" l="1"/>
  <c r="C303" i="3" l="1"/>
  <c r="E303" i="3" l="1"/>
  <c r="D303" i="3" l="1"/>
  <c r="G303" i="3" l="1"/>
  <c r="C304" i="3" l="1"/>
  <c r="E304" i="3" l="1"/>
  <c r="D304" i="3" l="1"/>
  <c r="G304" i="3" l="1"/>
  <c r="C305" i="3" l="1"/>
  <c r="E305" i="3" l="1"/>
  <c r="D305" i="3" l="1"/>
  <c r="G305" i="3" l="1"/>
  <c r="C306" i="3" l="1"/>
  <c r="E306" i="3" l="1"/>
  <c r="D306" i="3" l="1"/>
  <c r="G306" i="3" l="1"/>
  <c r="C307" i="3" l="1"/>
  <c r="E307" i="3" l="1"/>
  <c r="D307" i="3" l="1"/>
  <c r="G307" i="3" l="1"/>
  <c r="C308" i="3" l="1"/>
  <c r="E308" i="3" l="1"/>
  <c r="E309" i="3" l="1"/>
  <c r="D308" i="3"/>
  <c r="D309" i="3" l="1"/>
  <c r="G308" i="3"/>
  <c r="C311" i="3" l="1"/>
  <c r="E311" i="3" l="1"/>
  <c r="D311" i="3" l="1"/>
  <c r="G311" i="3" l="1"/>
  <c r="C312" i="3" l="1"/>
  <c r="E312" i="3" l="1"/>
  <c r="D312" i="3" l="1"/>
  <c r="G312" i="3" l="1"/>
  <c r="C313" i="3" l="1"/>
  <c r="E313" i="3" l="1"/>
  <c r="D313" i="3" l="1"/>
  <c r="G313" i="3" l="1"/>
  <c r="C314" i="3" l="1"/>
  <c r="E314" i="3" l="1"/>
  <c r="D314" i="3" l="1"/>
  <c r="G314" i="3" l="1"/>
  <c r="C315" i="3" l="1"/>
  <c r="E315" i="3" l="1"/>
  <c r="D315" i="3" l="1"/>
  <c r="G315" i="3" l="1"/>
  <c r="C316" i="3" l="1"/>
  <c r="E316" i="3" l="1"/>
  <c r="D316" i="3" l="1"/>
  <c r="G316" i="3" l="1"/>
  <c r="C317" i="3" l="1"/>
  <c r="E317" i="3" l="1"/>
  <c r="D317" i="3" l="1"/>
  <c r="G317" i="3" l="1"/>
  <c r="C318" i="3" l="1"/>
  <c r="E318" i="3" l="1"/>
  <c r="D318" i="3" l="1"/>
  <c r="G318" i="3" l="1"/>
  <c r="C319" i="3" l="1"/>
  <c r="E319" i="3" l="1"/>
  <c r="D319" i="3" l="1"/>
  <c r="G319" i="3" l="1"/>
  <c r="C320" i="3" l="1"/>
  <c r="E320" i="3" l="1"/>
  <c r="D320" i="3" l="1"/>
  <c r="G320" i="3" l="1"/>
  <c r="C321" i="3" l="1"/>
  <c r="E321" i="3" l="1"/>
  <c r="D321" i="3" l="1"/>
  <c r="G321" i="3" l="1"/>
  <c r="C322" i="3" l="1"/>
  <c r="E322" i="3" l="1"/>
  <c r="D322" i="3" l="1"/>
  <c r="E323" i="3"/>
  <c r="D323" i="3" l="1"/>
  <c r="G322" i="3"/>
  <c r="C325" i="3" l="1"/>
  <c r="E325" i="3" l="1"/>
  <c r="D325" i="3" l="1"/>
  <c r="G325" i="3" l="1"/>
  <c r="C326" i="3" l="1"/>
  <c r="E326" i="3" l="1"/>
  <c r="D326" i="3" l="1"/>
  <c r="G326" i="3" l="1"/>
  <c r="C327" i="3" l="1"/>
  <c r="E327" i="3" l="1"/>
  <c r="D327" i="3" l="1"/>
  <c r="G327" i="3" l="1"/>
  <c r="C328" i="3" l="1"/>
  <c r="E328" i="3" l="1"/>
  <c r="D328" i="3" l="1"/>
  <c r="G328" i="3" l="1"/>
  <c r="C329" i="3" l="1"/>
  <c r="E329" i="3" l="1"/>
  <c r="D329" i="3" l="1"/>
  <c r="G329" i="3" l="1"/>
  <c r="C330" i="3" l="1"/>
  <c r="E330" i="3" l="1"/>
  <c r="D330" i="3" l="1"/>
  <c r="G330" i="3" l="1"/>
  <c r="C331" i="3" l="1"/>
  <c r="E331" i="3" l="1"/>
  <c r="D331" i="3" l="1"/>
  <c r="G331" i="3" l="1"/>
  <c r="C332" i="3" l="1"/>
  <c r="E332" i="3" l="1"/>
  <c r="D332" i="3" l="1"/>
  <c r="G332" i="3" l="1"/>
  <c r="C333" i="3" l="1"/>
  <c r="E333" i="3" l="1"/>
  <c r="D333" i="3" l="1"/>
  <c r="G333" i="3" l="1"/>
  <c r="C334" i="3" l="1"/>
  <c r="E334" i="3" l="1"/>
  <c r="D334" i="3" l="1"/>
  <c r="G334" i="3" l="1"/>
  <c r="C335" i="3" l="1"/>
  <c r="E335" i="3" l="1"/>
  <c r="D335" i="3" l="1"/>
  <c r="G335" i="3" l="1"/>
  <c r="C336" i="3" l="1"/>
  <c r="E336" i="3" l="1"/>
  <c r="D336" i="3" l="1"/>
  <c r="E337" i="3"/>
  <c r="D337" i="3" l="1"/>
  <c r="G336" i="3"/>
  <c r="C339" i="3" l="1"/>
  <c r="E339" i="3" l="1"/>
  <c r="D339" i="3" l="1"/>
  <c r="G339" i="3" l="1"/>
  <c r="C340" i="3" l="1"/>
  <c r="E340" i="3" l="1"/>
  <c r="D340" i="3" l="1"/>
  <c r="G340" i="3" l="1"/>
  <c r="C341" i="3" l="1"/>
  <c r="E341" i="3" l="1"/>
  <c r="D341" i="3" l="1"/>
  <c r="G341" i="3" l="1"/>
  <c r="C342" i="3" l="1"/>
  <c r="E342" i="3" l="1"/>
  <c r="D342" i="3" l="1"/>
  <c r="G342" i="3" l="1"/>
  <c r="C343" i="3" l="1"/>
  <c r="E343" i="3" l="1"/>
  <c r="D343" i="3" l="1"/>
  <c r="G343" i="3" l="1"/>
  <c r="C344" i="3" l="1"/>
  <c r="E344" i="3" l="1"/>
  <c r="D344" i="3" l="1"/>
  <c r="G344" i="3" l="1"/>
  <c r="C345" i="3" l="1"/>
  <c r="E345" i="3" l="1"/>
  <c r="D345" i="3" l="1"/>
  <c r="G345" i="3" l="1"/>
  <c r="C346" i="3" l="1"/>
  <c r="E346" i="3" l="1"/>
  <c r="D346" i="3" l="1"/>
  <c r="G346" i="3" l="1"/>
  <c r="C347" i="3" l="1"/>
  <c r="E347" i="3" l="1"/>
  <c r="D347" i="3" l="1"/>
  <c r="G347" i="3" l="1"/>
  <c r="C348" i="3" l="1"/>
  <c r="E348" i="3" l="1"/>
  <c r="D348" i="3" l="1"/>
  <c r="G348" i="3" l="1"/>
  <c r="C349" i="3" l="1"/>
  <c r="E349" i="3" l="1"/>
  <c r="D349" i="3" l="1"/>
  <c r="G349" i="3" l="1"/>
  <c r="C350" i="3" l="1"/>
  <c r="E350" i="3" l="1"/>
  <c r="D350" i="3" l="1"/>
  <c r="E351" i="3"/>
  <c r="D351" i="3" l="1"/>
  <c r="G350" i="3"/>
  <c r="C353" i="3" l="1"/>
  <c r="E353" i="3" l="1"/>
  <c r="D353" i="3" l="1"/>
  <c r="G353" i="3" l="1"/>
  <c r="C354" i="3" l="1"/>
  <c r="E354" i="3" l="1"/>
  <c r="D354" i="3" l="1"/>
  <c r="G354" i="3" l="1"/>
  <c r="C355" i="3" l="1"/>
  <c r="E355" i="3" l="1"/>
  <c r="D355" i="3" l="1"/>
  <c r="G355" i="3" l="1"/>
  <c r="C356" i="3" l="1"/>
  <c r="E356" i="3" l="1"/>
  <c r="D356" i="3" l="1"/>
  <c r="G356" i="3" l="1"/>
  <c r="C357" i="3" l="1"/>
  <c r="E357" i="3" l="1"/>
  <c r="D357" i="3" l="1"/>
  <c r="G357" i="3" l="1"/>
  <c r="C358" i="3" l="1"/>
  <c r="E358" i="3" l="1"/>
  <c r="D358" i="3" l="1"/>
  <c r="G358" i="3" l="1"/>
  <c r="C359" i="3" l="1"/>
  <c r="E359" i="3" l="1"/>
  <c r="D359" i="3" l="1"/>
  <c r="G359" i="3" l="1"/>
  <c r="C360" i="3" l="1"/>
  <c r="E360" i="3" l="1"/>
  <c r="D360" i="3" l="1"/>
  <c r="G360" i="3" l="1"/>
  <c r="C361" i="3" l="1"/>
  <c r="E361" i="3" l="1"/>
  <c r="D361" i="3" l="1"/>
  <c r="G361" i="3" l="1"/>
  <c r="C362" i="3" l="1"/>
  <c r="E362" i="3" l="1"/>
  <c r="D362" i="3" l="1"/>
  <c r="G362" i="3" l="1"/>
  <c r="C363" i="3" l="1"/>
  <c r="E363" i="3" l="1"/>
  <c r="D363" i="3" l="1"/>
  <c r="G363" i="3" l="1"/>
  <c r="C364" i="3" l="1"/>
  <c r="E364" i="3" l="1"/>
  <c r="D364" i="3" l="1"/>
  <c r="E365" i="3"/>
  <c r="D365" i="3" l="1"/>
  <c r="G364" i="3"/>
  <c r="C367" i="3" l="1"/>
  <c r="E367" i="3" l="1"/>
  <c r="D367" i="3" l="1"/>
  <c r="G367" i="3" l="1"/>
  <c r="C368" i="3" l="1"/>
  <c r="E368" i="3" l="1"/>
  <c r="D368" i="3" l="1"/>
  <c r="G368" i="3" l="1"/>
  <c r="C369" i="3" l="1"/>
  <c r="E369" i="3" l="1"/>
  <c r="D369" i="3" l="1"/>
  <c r="G369" i="3" l="1"/>
  <c r="C370" i="3" l="1"/>
  <c r="E370" i="3" l="1"/>
  <c r="D370" i="3" l="1"/>
  <c r="G370" i="3" l="1"/>
  <c r="C371" i="3" l="1"/>
  <c r="E371" i="3" l="1"/>
  <c r="D371" i="3" l="1"/>
  <c r="G371" i="3" l="1"/>
  <c r="C372" i="3" l="1"/>
  <c r="E372" i="3" l="1"/>
  <c r="D372" i="3" l="1"/>
  <c r="G372" i="3" l="1"/>
  <c r="C373" i="3" l="1"/>
  <c r="E373" i="3" l="1"/>
  <c r="D373" i="3" l="1"/>
  <c r="G373" i="3" l="1"/>
  <c r="C374" i="3" l="1"/>
  <c r="E374" i="3" l="1"/>
  <c r="D374" i="3" l="1"/>
  <c r="G374" i="3" l="1"/>
  <c r="C375" i="3" l="1"/>
  <c r="E375" i="3" l="1"/>
  <c r="D375" i="3" l="1"/>
  <c r="G375" i="3" l="1"/>
  <c r="C376" i="3" l="1"/>
  <c r="E376" i="3" l="1"/>
  <c r="D376" i="3" l="1"/>
  <c r="G376" i="3" l="1"/>
  <c r="C377" i="3" l="1"/>
  <c r="E377" i="3" l="1"/>
  <c r="D377" i="3" l="1"/>
  <c r="G377" i="3" l="1"/>
  <c r="C378" i="3" l="1"/>
  <c r="E378" i="3" l="1"/>
  <c r="D378" i="3" l="1"/>
  <c r="E379" i="3"/>
  <c r="D379" i="3" l="1"/>
  <c r="G378" i="3"/>
  <c r="C381" i="3" l="1"/>
  <c r="E381" i="3" l="1"/>
  <c r="D381" i="3" l="1"/>
  <c r="G381" i="3" l="1"/>
  <c r="C382" i="3" l="1"/>
  <c r="E382" i="3" l="1"/>
  <c r="D382" i="3" l="1"/>
  <c r="G382" i="3" l="1"/>
  <c r="C383" i="3" l="1"/>
  <c r="E383" i="3" l="1"/>
  <c r="D383" i="3" l="1"/>
  <c r="G383" i="3" l="1"/>
  <c r="C384" i="3" l="1"/>
  <c r="E384" i="3" l="1"/>
  <c r="D384" i="3" l="1"/>
  <c r="G384" i="3" l="1"/>
  <c r="C385" i="3" l="1"/>
  <c r="E385" i="3" l="1"/>
  <c r="D385" i="3" l="1"/>
  <c r="G385" i="3" l="1"/>
  <c r="C386" i="3" l="1"/>
  <c r="E386" i="3" l="1"/>
  <c r="D386" i="3" l="1"/>
  <c r="G386" i="3" l="1"/>
  <c r="C387" i="3" l="1"/>
  <c r="E387" i="3" l="1"/>
  <c r="D387" i="3" l="1"/>
  <c r="G387" i="3" l="1"/>
  <c r="C388" i="3" l="1"/>
  <c r="E388" i="3" l="1"/>
  <c r="D388" i="3" l="1"/>
  <c r="G388" i="3" l="1"/>
  <c r="C389" i="3" l="1"/>
  <c r="E389" i="3" l="1"/>
  <c r="D389" i="3" l="1"/>
  <c r="G389" i="3" l="1"/>
  <c r="C390" i="3" l="1"/>
  <c r="E390" i="3" l="1"/>
  <c r="D390" i="3" l="1"/>
  <c r="G390" i="3" l="1"/>
  <c r="C391" i="3" l="1"/>
  <c r="E391" i="3" l="1"/>
  <c r="D391" i="3" l="1"/>
  <c r="G391" i="3" l="1"/>
  <c r="C392" i="3" l="1"/>
  <c r="E392" i="3" l="1"/>
  <c r="D392" i="3" l="1"/>
  <c r="E393" i="3"/>
  <c r="D393" i="3" l="1"/>
  <c r="G392" i="3"/>
  <c r="C395" i="3" l="1"/>
  <c r="E395" i="3" l="1"/>
  <c r="D395" i="3" l="1"/>
  <c r="G395" i="3" s="1"/>
  <c r="C396" i="3" l="1"/>
  <c r="E396" i="3" l="1"/>
  <c r="D396" i="3" l="1"/>
  <c r="G396" i="3" l="1"/>
  <c r="C397" i="3" l="1"/>
  <c r="E397" i="3" l="1"/>
  <c r="D397" i="3" l="1"/>
  <c r="G397" i="3" l="1"/>
  <c r="C398" i="3" l="1"/>
  <c r="E398" i="3" l="1"/>
  <c r="D398" i="3" l="1"/>
  <c r="G398" i="3" l="1"/>
  <c r="C399" i="3" l="1"/>
  <c r="E399" i="3" l="1"/>
  <c r="D399" i="3" l="1"/>
  <c r="G399" i="3" l="1"/>
  <c r="C400" i="3" l="1"/>
  <c r="E400" i="3" l="1"/>
  <c r="D400" i="3" l="1"/>
  <c r="G400" i="3" l="1"/>
  <c r="C401" i="3" l="1"/>
  <c r="E401" i="3" l="1"/>
  <c r="D401" i="3" l="1"/>
  <c r="G401" i="3" l="1"/>
  <c r="C402" i="3" l="1"/>
  <c r="E402" i="3" l="1"/>
  <c r="D402" i="3" l="1"/>
  <c r="G402" i="3" l="1"/>
  <c r="C403" i="3" l="1"/>
  <c r="E403" i="3" l="1"/>
  <c r="D403" i="3" l="1"/>
  <c r="G403" i="3" l="1"/>
  <c r="C404" i="3" l="1"/>
  <c r="E404" i="3" l="1"/>
  <c r="D404" i="3" l="1"/>
  <c r="G404" i="3" l="1"/>
  <c r="C405" i="3" l="1"/>
  <c r="E405" i="3" l="1"/>
  <c r="D405" i="3" l="1"/>
  <c r="G405" i="3" l="1"/>
  <c r="C406" i="3" l="1"/>
  <c r="E406" i="3" l="1"/>
  <c r="E407" i="3" l="1"/>
  <c r="D406" i="3"/>
  <c r="D407" i="3" l="1"/>
  <c r="G406" i="3"/>
  <c r="C409" i="3" l="1"/>
  <c r="E409" i="3" l="1"/>
  <c r="D409" i="3" l="1"/>
  <c r="G409" i="3" l="1"/>
  <c r="C410" i="3" l="1"/>
  <c r="E410" i="3" l="1"/>
  <c r="D410" i="3" l="1"/>
  <c r="G410" i="3" l="1"/>
  <c r="C411" i="3" l="1"/>
  <c r="E411" i="3" l="1"/>
  <c r="D411" i="3" l="1"/>
  <c r="G411" i="3" l="1"/>
  <c r="C412" i="3" l="1"/>
  <c r="E412" i="3" l="1"/>
  <c r="D412" i="3" l="1"/>
  <c r="G412" i="3" l="1"/>
  <c r="C413" i="3" l="1"/>
  <c r="E413" i="3" l="1"/>
  <c r="D413" i="3" l="1"/>
  <c r="G413" i="3" l="1"/>
  <c r="C414" i="3" l="1"/>
  <c r="E414" i="3" l="1"/>
  <c r="D414" i="3" l="1"/>
  <c r="G414" i="3" l="1"/>
  <c r="C415" i="3" l="1"/>
  <c r="E415" i="3" l="1"/>
  <c r="D415" i="3" l="1"/>
  <c r="G415" i="3" l="1"/>
  <c r="C416" i="3" l="1"/>
  <c r="E416" i="3" l="1"/>
  <c r="D416" i="3" l="1"/>
  <c r="G416" i="3" l="1"/>
  <c r="C417" i="3" l="1"/>
  <c r="E417" i="3" l="1"/>
  <c r="D417" i="3" l="1"/>
  <c r="G417" i="3" l="1"/>
  <c r="C418" i="3" l="1"/>
  <c r="E418" i="3" l="1"/>
  <c r="D418" i="3" l="1"/>
  <c r="G418" i="3" l="1"/>
  <c r="C419" i="3" l="1"/>
  <c r="E419" i="3" l="1"/>
  <c r="D419" i="3" l="1"/>
  <c r="G419" i="3" l="1"/>
  <c r="C420" i="3" l="1"/>
  <c r="E420" i="3" l="1"/>
  <c r="D420" i="3" l="1"/>
  <c r="E421" i="3"/>
  <c r="D421" i="3" l="1"/>
  <c r="G420" i="3"/>
  <c r="E179" i="2"/>
  <c r="F179" i="2" s="1"/>
  <c r="F169" i="2"/>
  <c r="D200" i="2" l="1"/>
  <c r="G141" i="2" l="1"/>
  <c r="C131" i="2" s="1"/>
  <c r="C135" i="2" s="1"/>
  <c r="D199" i="2" s="1"/>
  <c r="C196" i="2" s="1"/>
  <c r="C251" i="2" s="1"/>
  <c r="G247" i="2" l="1"/>
  <c r="D247" i="2"/>
  <c r="E247" i="2"/>
  <c r="C247" i="2"/>
  <c r="F247" i="2"/>
  <c r="C138" i="2"/>
  <c r="C140" i="2" s="1"/>
  <c r="C248" i="2" l="1"/>
</calcChain>
</file>

<file path=xl/sharedStrings.xml><?xml version="1.0" encoding="utf-8"?>
<sst xmlns="http://schemas.openxmlformats.org/spreadsheetml/2006/main" count="678" uniqueCount="260">
  <si>
    <t>Assumption Calculations</t>
  </si>
  <si>
    <t>Days per Year</t>
  </si>
  <si>
    <t>Assumption Explanations (See Below)</t>
  </si>
  <si>
    <t>Tenants</t>
  </si>
  <si>
    <t>Increase per annum, tenants</t>
  </si>
  <si>
    <t>per unit</t>
  </si>
  <si>
    <t>units residential</t>
  </si>
  <si>
    <t>units commercial</t>
  </si>
  <si>
    <t>Rent per tenant year round</t>
  </si>
  <si>
    <t>per month</t>
  </si>
  <si>
    <t>Commercial Per Unit</t>
  </si>
  <si>
    <t>inflation, per year</t>
  </si>
  <si>
    <t>Residential</t>
  </si>
  <si>
    <t>Monthly Total Commercial</t>
  </si>
  <si>
    <t>Monthly Total Residential</t>
  </si>
  <si>
    <t>Annual Commercial</t>
  </si>
  <si>
    <t>Price per square foot, Commercial</t>
  </si>
  <si>
    <t>Annual Residential</t>
  </si>
  <si>
    <t>Monthly Rentail per unit</t>
  </si>
  <si>
    <t>Annual Revenue</t>
  </si>
  <si>
    <t>Occupancy</t>
  </si>
  <si>
    <t>Gen. &amp; Admin. Expenses</t>
  </si>
  <si>
    <t>Fixed amount</t>
  </si>
  <si>
    <t>Marketing Costs</t>
  </si>
  <si>
    <t>Building</t>
  </si>
  <si>
    <t>Estimated Cost</t>
  </si>
  <si>
    <t>Depr. Expense</t>
  </si>
  <si>
    <t>Depreciated</t>
  </si>
  <si>
    <t>Accum. Depr.</t>
  </si>
  <si>
    <t>Years</t>
  </si>
  <si>
    <t>Initial Funding</t>
  </si>
  <si>
    <t>Equity</t>
  </si>
  <si>
    <t>Interest Rate</t>
  </si>
  <si>
    <t>DFN</t>
  </si>
  <si>
    <t>Income Tax</t>
  </si>
  <si>
    <t>Tax Rate</t>
  </si>
  <si>
    <t>Accrued for at year end</t>
  </si>
  <si>
    <t>Paid next April</t>
  </si>
  <si>
    <t>Minimum Cash Balance</t>
  </si>
  <si>
    <t>Rato Analysis</t>
  </si>
  <si>
    <t>Current Ratio</t>
  </si>
  <si>
    <t>Debt to Equity</t>
  </si>
  <si>
    <t>ROA</t>
  </si>
  <si>
    <t>ROE</t>
  </si>
  <si>
    <t>Revenues</t>
  </si>
  <si>
    <t>Total Sales</t>
  </si>
  <si>
    <t>Operating Expenses</t>
  </si>
  <si>
    <t>Marketing Expense</t>
  </si>
  <si>
    <t>Total Operating Expenses</t>
  </si>
  <si>
    <t>Operating Profit</t>
  </si>
  <si>
    <t>Non-Operating Expenses</t>
  </si>
  <si>
    <t>Depreciaton Expense</t>
  </si>
  <si>
    <t>Interest Expense</t>
  </si>
  <si>
    <t>Interest Expense on DFN</t>
  </si>
  <si>
    <t>Total Non-Operating Expenses</t>
  </si>
  <si>
    <t>Profit Before Taxes</t>
  </si>
  <si>
    <t>Net Profit After Tax</t>
  </si>
  <si>
    <t>Assets</t>
  </si>
  <si>
    <t>Current Assets</t>
  </si>
  <si>
    <t>Cash</t>
  </si>
  <si>
    <t>Non-Current Assets</t>
  </si>
  <si>
    <t>Total Assets</t>
  </si>
  <si>
    <t>Liabilities and Shareholder Capital</t>
  </si>
  <si>
    <t>Current Liabilities</t>
  </si>
  <si>
    <t>Accounts Payable</t>
  </si>
  <si>
    <t>Interest Payable</t>
  </si>
  <si>
    <t>Tax Payable</t>
  </si>
  <si>
    <t>Non-Current Liabilities</t>
  </si>
  <si>
    <t>DFN - Bank Loan</t>
  </si>
  <si>
    <t>Shareholder Capital</t>
  </si>
  <si>
    <t>Retained Earnings</t>
  </si>
  <si>
    <t>Total Liabilities and Shareholder Equity</t>
  </si>
  <si>
    <t>DFN/(Cash) Calculation</t>
  </si>
  <si>
    <t>WACC</t>
  </si>
  <si>
    <t>CAPM for the return equity holders want</t>
  </si>
  <si>
    <t>Beta</t>
  </si>
  <si>
    <t>T-Bill rate</t>
  </si>
  <si>
    <t>S&amp;P 500 rate</t>
  </si>
  <si>
    <t>Return equity holders want</t>
  </si>
  <si>
    <t>Tax Rate of Company</t>
  </si>
  <si>
    <t>Working Capital Accounts</t>
  </si>
  <si>
    <t>Debt Investors</t>
  </si>
  <si>
    <t>Total Debt and Equity Investors</t>
  </si>
  <si>
    <t>Total Monthly</t>
  </si>
  <si>
    <t>Increase per annum in G&amp;A</t>
  </si>
  <si>
    <t>Maintenance Costs</t>
  </si>
  <si>
    <t>Security Deposit</t>
  </si>
  <si>
    <t>First and Last months rent Commercial</t>
  </si>
  <si>
    <t>First and Last months rent Residential</t>
  </si>
  <si>
    <t>Monthly Payment</t>
  </si>
  <si>
    <t>Total Annual Payment</t>
  </si>
  <si>
    <t>Note for Real Estate Investment</t>
  </si>
  <si>
    <t>Occupancy fixed at 95%</t>
  </si>
  <si>
    <t>Residential Revenue</t>
  </si>
  <si>
    <t>Commercial Revenue</t>
  </si>
  <si>
    <t>Property Taxes</t>
  </si>
  <si>
    <t>FMV of Property</t>
  </si>
  <si>
    <t>Annual Property Taxes</t>
  </si>
  <si>
    <t>Beg Balance</t>
  </si>
  <si>
    <t>Principal</t>
  </si>
  <si>
    <t xml:space="preserve">Interest </t>
  </si>
  <si>
    <t>Payment</t>
  </si>
  <si>
    <t>End Balance</t>
  </si>
  <si>
    <t>PV</t>
  </si>
  <si>
    <t>FV</t>
  </si>
  <si>
    <t>Rate</t>
  </si>
  <si>
    <t>Nper</t>
  </si>
  <si>
    <t>PMT</t>
  </si>
  <si>
    <t>Comp/Year</t>
  </si>
  <si>
    <t>Pmt/Year</t>
  </si>
  <si>
    <t>Comp/Pmt</t>
  </si>
  <si>
    <t>Annual Rate</t>
  </si>
  <si>
    <t>Effect/Month</t>
  </si>
  <si>
    <t>January</t>
  </si>
  <si>
    <t>February</t>
  </si>
  <si>
    <t>March</t>
  </si>
  <si>
    <t>April</t>
  </si>
  <si>
    <t>May</t>
  </si>
  <si>
    <t>June</t>
  </si>
  <si>
    <t>July</t>
  </si>
  <si>
    <t>August</t>
  </si>
  <si>
    <t>September</t>
  </si>
  <si>
    <t>October</t>
  </si>
  <si>
    <t>November</t>
  </si>
  <si>
    <t>December</t>
  </si>
  <si>
    <t>Total</t>
  </si>
  <si>
    <t>Month</t>
  </si>
  <si>
    <t>Year</t>
  </si>
  <si>
    <t>Annual Rate of FMV of Property</t>
  </si>
  <si>
    <t>per commercial unit</t>
  </si>
  <si>
    <t>per residential unit</t>
  </si>
  <si>
    <t>owner contribution</t>
  </si>
  <si>
    <t>All taxes are accrued for at year end and paid next April.</t>
  </si>
  <si>
    <t>Commercial &amp; Residential Real Estate Group Income Statement Information (Fiscal Years Ending December 31st)</t>
  </si>
  <si>
    <t>Commercial and Residential Real Estate Group Balance Sheet Information (Fiscal Years Ending December 31st)</t>
  </si>
  <si>
    <t>Income Taxes</t>
  </si>
  <si>
    <t>Total Current Assets</t>
  </si>
  <si>
    <t>Total Non-Current Assets</t>
  </si>
  <si>
    <t>Total Current Liabilities</t>
  </si>
  <si>
    <t>Total Non-Current Liabilities</t>
  </si>
  <si>
    <t>Building 1</t>
  </si>
  <si>
    <t>Depr. Exp.</t>
  </si>
  <si>
    <t>A/D</t>
  </si>
  <si>
    <t>Beg. CV</t>
  </si>
  <si>
    <t>End. CV</t>
  </si>
  <si>
    <t>Building 2</t>
  </si>
  <si>
    <t>Building 3</t>
  </si>
  <si>
    <t>Building 4</t>
  </si>
  <si>
    <t>CV  @ year end</t>
  </si>
  <si>
    <t>Total Shareholder Equity</t>
  </si>
  <si>
    <t>Total Liabilities</t>
  </si>
  <si>
    <t>Risk Premium of S&amp;P</t>
  </si>
  <si>
    <t>Risk Premium of This Stock</t>
  </si>
  <si>
    <t>Actual Return on my stock</t>
  </si>
  <si>
    <t>Assets:</t>
  </si>
  <si>
    <t>Net Assets of Working Capital</t>
  </si>
  <si>
    <t>Debt and Equity Investors:</t>
  </si>
  <si>
    <t>Debt Amt</t>
  </si>
  <si>
    <t>Proportion</t>
  </si>
  <si>
    <t>Interest Amt</t>
  </si>
  <si>
    <t>Equity Investors</t>
  </si>
  <si>
    <t>Equity Amt</t>
  </si>
  <si>
    <t>Total Equity</t>
  </si>
  <si>
    <t>Difference</t>
  </si>
  <si>
    <t>Projected WACC</t>
  </si>
  <si>
    <t>Re</t>
  </si>
  <si>
    <t>Cost of Equity</t>
  </si>
  <si>
    <t>Rd</t>
  </si>
  <si>
    <t>Cost of Debt - Blended Rate</t>
  </si>
  <si>
    <t>E/V</t>
  </si>
  <si>
    <t>Percentage of Financing That Is Equity</t>
  </si>
  <si>
    <t>D/V</t>
  </si>
  <si>
    <t>Percentage of Financing That is Debt</t>
  </si>
  <si>
    <t>Tc</t>
  </si>
  <si>
    <t>Corporate Tax Rate</t>
  </si>
  <si>
    <t>WACC = E/V * Re + D/V * Rd * (1-Tc)</t>
  </si>
  <si>
    <t>All purchases are made with cash.</t>
  </si>
  <si>
    <t>Building, net of accumulated depreciation</t>
  </si>
  <si>
    <t>Security deposits are non refundable.  They are used to assist with preparing commercial and residential units for new leases.</t>
  </si>
  <si>
    <t>Note</t>
  </si>
  <si>
    <t>Note Payable for Building</t>
  </si>
  <si>
    <t>Additional Financing For Growth</t>
  </si>
  <si>
    <t>Additional Properties</t>
  </si>
  <si>
    <t>Investments with Excessive Capital</t>
  </si>
  <si>
    <t>Price per square foot, Residential</t>
  </si>
  <si>
    <t>Depreciation Schedule Summary</t>
  </si>
  <si>
    <t>A depreciation schedule is included in the 'depreciation schedule' tab.  In case we decide to invest in additional properties we can use the depreciation schedule summary to help us keep track of the carrying value on the properties and the related depreciation expense and accumulated depreciation for those properties.  Current numbers in years two through four are purely hypothetical.</t>
  </si>
  <si>
    <t>Land</t>
  </si>
  <si>
    <t>Accrued Mainteance Costs</t>
  </si>
  <si>
    <t>days accrued costs</t>
  </si>
  <si>
    <t>increase annually</t>
  </si>
  <si>
    <t>Security Deposit Revenue</t>
  </si>
  <si>
    <t xml:space="preserve">Use Unlevered Beta from </t>
  </si>
  <si>
    <t>http://pages.stern.nyu.edu/~adamodar/New_Home_Page/datafile/Betas.html</t>
  </si>
  <si>
    <t>http://www.treasury.gov/resource-center/data-chart-center/interest-rates/pages/textview.aspx?data=yield</t>
  </si>
  <si>
    <t>The 10-year average for S&amp;P500 Rate is 4.14%</t>
  </si>
  <si>
    <t>http://quicktake.morningstar.com/index/IndexCharts.aspx?Country=USA&amp;Symbol=SPX</t>
  </si>
  <si>
    <t>The 10-year average T-Bill Rate is1.53%</t>
  </si>
  <si>
    <t>Old:</t>
  </si>
  <si>
    <t>Debt %</t>
  </si>
  <si>
    <t>Equity %</t>
  </si>
  <si>
    <t>Regular β</t>
  </si>
  <si>
    <t>Unlevered β</t>
  </si>
  <si>
    <t>New:</t>
  </si>
  <si>
    <t>Re-levered  β</t>
  </si>
  <si>
    <t>Excessive Capital Investments</t>
  </si>
  <si>
    <t>Expected Return</t>
  </si>
  <si>
    <t>Probability</t>
  </si>
  <si>
    <t>Total Expected Return</t>
  </si>
  <si>
    <t>Return</t>
  </si>
  <si>
    <t>Outcome 1</t>
  </si>
  <si>
    <t>Outcome 2</t>
  </si>
  <si>
    <t>Outcome 3</t>
  </si>
  <si>
    <t>http://www.investopedia.com/terms/e/expectedreturn.asp#axzz1wyf6b3ze</t>
  </si>
  <si>
    <t>Large-Cap Stocks</t>
  </si>
  <si>
    <t>International</t>
  </si>
  <si>
    <t>Small Cap Value</t>
  </si>
  <si>
    <t>Bonds</t>
  </si>
  <si>
    <t>Allocation</t>
  </si>
  <si>
    <t>Expected Impact on Portfolio</t>
  </si>
  <si>
    <t>Excessive Capital Investment Portfolio</t>
  </si>
  <si>
    <t>Expected Return on Portfolio</t>
  </si>
  <si>
    <t>http://allfinancialmatters.com/2007/01/19/how-to-calculate-the-expected-return-on-a-portfolio/</t>
  </si>
  <si>
    <t>1 Year</t>
  </si>
  <si>
    <t>3 Year</t>
  </si>
  <si>
    <t>5 Year</t>
  </si>
  <si>
    <t>10 Year</t>
  </si>
  <si>
    <t>Average Returns</t>
  </si>
  <si>
    <t>Capital Gains Tax</t>
  </si>
  <si>
    <t>beta for office building in NY by licenced real estate aprasal</t>
  </si>
  <si>
    <t>http://pages.stern.nyu.edu/~adamodar/pdfiles/valn2ed/ch26.pdf</t>
  </si>
  <si>
    <t>http://www.naiglobal.com/docs/RealEstatePricing.pdf</t>
  </si>
  <si>
    <t>Real estate priceing aynalist with PHD gave .4-.5 range</t>
  </si>
  <si>
    <t>averaged</t>
  </si>
  <si>
    <t>Date</t>
  </si>
  <si>
    <t>Assumptions on Balance Sheet</t>
  </si>
  <si>
    <t>Cash Flows from Operations</t>
  </si>
  <si>
    <t>operating Profit</t>
  </si>
  <si>
    <t>total taxable income from Op.</t>
  </si>
  <si>
    <t>+ depreceiation</t>
  </si>
  <si>
    <t>Cash from operations</t>
  </si>
  <si>
    <t>Cash Flows from Changes in Working Capital</t>
  </si>
  <si>
    <t>Cash Flows from Liquidation of Working Capital</t>
  </si>
  <si>
    <t>Cash Flows from Capital Expenditures</t>
  </si>
  <si>
    <t>Building one</t>
  </si>
  <si>
    <t>TOTAL FREE CASH FLOWS</t>
  </si>
  <si>
    <t>PV OF FREE CASH FLOWS</t>
  </si>
  <si>
    <t>NPV</t>
  </si>
  <si>
    <t>IRR</t>
  </si>
  <si>
    <t>Accounts recievable</t>
  </si>
  <si>
    <t>rental income taxed at this percent</t>
  </si>
  <si>
    <t>Property taxes</t>
  </si>
  <si>
    <t>land increases in value</t>
  </si>
  <si>
    <t>.02 appreciation</t>
  </si>
  <si>
    <t>taxes</t>
  </si>
  <si>
    <t>land gain calculation</t>
  </si>
  <si>
    <t>gain</t>
  </si>
  <si>
    <t>gain tax of assets held longer then a year</t>
  </si>
  <si>
    <t>www.fool.com/taxes</t>
  </si>
  <si>
    <t>Sold at BV</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</si>
</sst>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4" formatCode="_(&quot;$&quot;* #,##0.00_);_(&quot;$&quot;* \(#,##0.00\);_(&quot;$&quot;* &quot;-&quot;??_);_(@_)"/>
    <numFmt numFmtId="43" formatCode="_(* #,##0.00_);_(* \(#,##0.00\);_(* &quot;-&quot;??_);_(@_)"/>
    <numFmt numFmtId="164" formatCode="_(* #,##0.00_);_(* \(#,##0.00\);_(* \-??_);_(@_)"/>
    <numFmt numFmtId="165" formatCode="#\ ???/???"/>
    <numFmt numFmtId="166" formatCode="0.0%"/>
    <numFmt numFmtId="167" formatCode="_(* #,##0.0000_);_(* \(#,##0.0000\);_(* &quot;-&quot;??_);_(@_)"/>
    <numFmt numFmtId="168" formatCode="_(* #,##0.000_);_(* \(#,##0.000\);_(* &quot;-&quot;??_);_(@_)"/>
    <numFmt numFmtId="169" formatCode="_(\$* #,##0_);_(\$* \(#,##0\);_(\$* \-??_);_(@_)"/>
  </numFmts>
  <fonts count="28"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1"/>
      <color theme="1"/>
      <name val="Calibri"/>
      <family val="2"/>
      <scheme val="minor"/>
    </font>
    <font>
      <b/>
      <u/>
      <sz val="11"/>
      <color theme="1"/>
      <name val="Arial Narrow"/>
      <family val="2"/>
    </font>
    <font>
      <sz val="11"/>
      <color indexed="8"/>
      <name val="Calibri"/>
      <family val="2"/>
      <charset val="1"/>
    </font>
    <font>
      <sz val="11"/>
      <color indexed="8"/>
      <name val="Arial Narrow"/>
      <family val="2"/>
    </font>
    <font>
      <sz val="11"/>
      <name val="Arial Narrow"/>
      <family val="2"/>
    </font>
    <font>
      <b/>
      <sz val="11"/>
      <color indexed="8"/>
      <name val="Arial Narrow"/>
      <family val="2"/>
    </font>
    <font>
      <b/>
      <sz val="11"/>
      <color indexed="8"/>
      <name val="Calibri"/>
      <family val="2"/>
      <charset val="1"/>
    </font>
    <font>
      <b/>
      <sz val="10"/>
      <name val="Calibri"/>
      <family val="2"/>
      <scheme val="minor"/>
    </font>
    <font>
      <b/>
      <i/>
      <sz val="11"/>
      <color theme="1"/>
      <name val="Arial Narrow"/>
      <family val="2"/>
    </font>
    <font>
      <i/>
      <sz val="11"/>
      <color theme="1"/>
      <name val="Arial Narrow"/>
      <family val="2"/>
    </font>
    <font>
      <sz val="11"/>
      <color theme="0"/>
      <name val="Calibri"/>
      <family val="2"/>
      <charset val="1"/>
    </font>
    <font>
      <b/>
      <sz val="11"/>
      <color indexed="8"/>
      <name val="Calibri"/>
      <family val="2"/>
    </font>
    <font>
      <sz val="11"/>
      <color theme="1" tint="4.9989318521683403E-2"/>
      <name val="Calibri"/>
      <family val="2"/>
      <charset val="1"/>
    </font>
    <font>
      <sz val="11"/>
      <color theme="1"/>
      <name val="Calibri"/>
      <family val="2"/>
      <charset val="1"/>
    </font>
    <font>
      <b/>
      <i/>
      <u/>
      <sz val="11"/>
      <color theme="1"/>
      <name val="Calibri"/>
      <family val="2"/>
      <scheme val="minor"/>
    </font>
    <font>
      <u val="singleAccounting"/>
      <sz val="11"/>
      <color theme="1"/>
      <name val="Calibri"/>
      <family val="2"/>
      <scheme val="minor"/>
    </font>
    <font>
      <b/>
      <u val="doubleAccounting"/>
      <sz val="11"/>
      <color theme="1"/>
      <name val="Calibri"/>
      <family val="2"/>
      <scheme val="minor"/>
    </font>
    <font>
      <b/>
      <i/>
      <sz val="11"/>
      <color theme="1"/>
      <name val="Calibri"/>
      <family val="2"/>
      <scheme val="minor"/>
    </font>
    <font>
      <b/>
      <u/>
      <sz val="11"/>
      <color theme="1"/>
      <name val="Calibri"/>
      <family val="2"/>
      <scheme val="minor"/>
    </font>
    <font>
      <sz val="11"/>
      <color theme="0"/>
      <name val="Calibri"/>
      <family val="2"/>
      <scheme val="minor"/>
    </font>
    <font>
      <u/>
      <sz val="11"/>
      <color theme="10"/>
      <name val="Calibri"/>
      <family val="2"/>
      <scheme val="minor"/>
    </font>
    <font>
      <sz val="11"/>
      <name val="Calibri"/>
      <family val="2"/>
      <charset val="1"/>
    </font>
    <font>
      <b/>
      <sz val="11"/>
      <name val="Calibri"/>
      <family val="2"/>
      <scheme val="minor"/>
    </font>
    <font>
      <sz val="11"/>
      <color rgb="FF000000"/>
      <name val="Calibri"/>
      <family val="2"/>
    </font>
  </fonts>
  <fills count="1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1" tint="0.499984740745262"/>
        <bgColor indexed="64"/>
      </patternFill>
    </fill>
    <fill>
      <patternFill patternType="solid">
        <fgColor theme="1" tint="4.9989318521683403E-2"/>
        <bgColor indexed="64"/>
      </patternFill>
    </fill>
    <fill>
      <patternFill patternType="solid">
        <fgColor rgb="FFFFC0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8"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8"/>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9" fontId="6" fillId="0" borderId="0"/>
    <xf numFmtId="0" fontId="24" fillId="0" borderId="0" applyNumberFormat="0" applyFill="0" applyBorder="0" applyAlignment="0" applyProtection="0"/>
  </cellStyleXfs>
  <cellXfs count="336">
    <xf numFmtId="0" fontId="0" fillId="0" borderId="0" xfId="0"/>
    <xf numFmtId="0" fontId="2" fillId="0" borderId="0" xfId="0" applyFont="1"/>
    <xf numFmtId="0" fontId="7" fillId="0" borderId="14" xfId="4" applyFont="1" applyBorder="1"/>
    <xf numFmtId="0" fontId="2" fillId="0" borderId="1" xfId="0" applyFont="1" applyBorder="1" applyAlignment="1">
      <alignment horizontal="right"/>
    </xf>
    <xf numFmtId="0" fontId="2" fillId="0" borderId="2" xfId="0" applyFont="1" applyBorder="1" applyAlignment="1">
      <alignment horizontal="center"/>
    </xf>
    <xf numFmtId="0" fontId="2" fillId="0" borderId="2" xfId="0" applyFont="1" applyBorder="1"/>
    <xf numFmtId="0" fontId="3" fillId="0" borderId="2" xfId="0" applyFont="1" applyBorder="1" applyAlignment="1">
      <alignment horizontal="center"/>
    </xf>
    <xf numFmtId="0" fontId="3" fillId="0" borderId="3" xfId="0" applyFont="1" applyBorder="1" applyAlignment="1">
      <alignment horizontal="center"/>
    </xf>
    <xf numFmtId="164" fontId="2" fillId="0" borderId="0" xfId="0" applyNumberFormat="1" applyFont="1"/>
    <xf numFmtId="0" fontId="5" fillId="0" borderId="0" xfId="0" applyFont="1"/>
    <xf numFmtId="0" fontId="7" fillId="0" borderId="0" xfId="4" applyFont="1"/>
    <xf numFmtId="0" fontId="3" fillId="0" borderId="9" xfId="0" applyFont="1" applyBorder="1"/>
    <xf numFmtId="0" fontId="2" fillId="0" borderId="0" xfId="0" applyFont="1" applyFill="1" applyBorder="1" applyAlignment="1">
      <alignment horizontal="left"/>
    </xf>
    <xf numFmtId="0" fontId="2" fillId="0" borderId="0" xfId="0" applyFont="1" applyFill="1" applyBorder="1"/>
    <xf numFmtId="0" fontId="3" fillId="0" borderId="0" xfId="0" applyFont="1" applyFill="1" applyBorder="1" applyAlignment="1">
      <alignment horizontal="center"/>
    </xf>
    <xf numFmtId="0" fontId="3" fillId="0" borderId="15" xfId="0" applyFont="1" applyFill="1" applyBorder="1" applyAlignment="1">
      <alignment horizontal="center"/>
    </xf>
    <xf numFmtId="0" fontId="7" fillId="0" borderId="9" xfId="4" applyFont="1" applyBorder="1"/>
    <xf numFmtId="43" fontId="7" fillId="0" borderId="0" xfId="1" applyFont="1" applyBorder="1"/>
    <xf numFmtId="43" fontId="7" fillId="0" borderId="15" xfId="1" applyFont="1" applyBorder="1"/>
    <xf numFmtId="43" fontId="2" fillId="0" borderId="0" xfId="0" applyNumberFormat="1" applyFont="1"/>
    <xf numFmtId="0" fontId="3" fillId="0" borderId="0" xfId="0" applyFont="1"/>
    <xf numFmtId="0" fontId="8" fillId="0" borderId="0" xfId="0" applyFont="1" applyFill="1"/>
    <xf numFmtId="0" fontId="3" fillId="0" borderId="16" xfId="0" applyFont="1" applyBorder="1"/>
    <xf numFmtId="43" fontId="7" fillId="0" borderId="17" xfId="1" applyFont="1" applyBorder="1"/>
    <xf numFmtId="164" fontId="2" fillId="0" borderId="17" xfId="0" applyNumberFormat="1" applyFont="1" applyBorder="1"/>
    <xf numFmtId="164" fontId="2" fillId="0" borderId="18" xfId="0" applyNumberFormat="1" applyFont="1" applyBorder="1"/>
    <xf numFmtId="0" fontId="3" fillId="0" borderId="19" xfId="0" applyFont="1" applyBorder="1"/>
    <xf numFmtId="43" fontId="7" fillId="0" borderId="20" xfId="1" applyFont="1" applyBorder="1"/>
    <xf numFmtId="44" fontId="7" fillId="0" borderId="20" xfId="2" applyFont="1" applyBorder="1"/>
    <xf numFmtId="44" fontId="7" fillId="0" borderId="21" xfId="2" applyFont="1" applyBorder="1"/>
    <xf numFmtId="0" fontId="8" fillId="0" borderId="0" xfId="0" applyFont="1"/>
    <xf numFmtId="10" fontId="7" fillId="0" borderId="0" xfId="3" applyNumberFormat="1" applyFont="1" applyBorder="1"/>
    <xf numFmtId="0" fontId="2" fillId="0" borderId="0" xfId="0" applyFont="1" applyFill="1"/>
    <xf numFmtId="43" fontId="7" fillId="0" borderId="18" xfId="1" applyFont="1" applyBorder="1"/>
    <xf numFmtId="0" fontId="2" fillId="0" borderId="16" xfId="0" applyFont="1" applyBorder="1"/>
    <xf numFmtId="0" fontId="8" fillId="0" borderId="0" xfId="0" applyFont="1" applyAlignment="1">
      <alignment vertical="center"/>
    </xf>
    <xf numFmtId="43" fontId="7" fillId="0" borderId="21" xfId="1" applyFont="1" applyBorder="1"/>
    <xf numFmtId="0" fontId="2" fillId="0" borderId="0" xfId="0" applyFont="1" applyFill="1" applyAlignment="1">
      <alignment vertical="center"/>
    </xf>
    <xf numFmtId="0" fontId="2" fillId="0" borderId="9" xfId="0" applyFont="1" applyBorder="1"/>
    <xf numFmtId="44" fontId="7" fillId="0" borderId="17" xfId="2" applyFont="1" applyBorder="1"/>
    <xf numFmtId="44" fontId="7" fillId="0" borderId="18" xfId="2" applyFont="1" applyBorder="1"/>
    <xf numFmtId="43" fontId="2" fillId="0" borderId="20" xfId="1" applyFont="1" applyBorder="1"/>
    <xf numFmtId="9" fontId="2" fillId="0" borderId="20" xfId="0" applyNumberFormat="1" applyFont="1" applyBorder="1"/>
    <xf numFmtId="0" fontId="2" fillId="0" borderId="20" xfId="0" applyFont="1" applyBorder="1"/>
    <xf numFmtId="0" fontId="2" fillId="0" borderId="21" xfId="0" applyFont="1" applyBorder="1"/>
    <xf numFmtId="43" fontId="2" fillId="0" borderId="0" xfId="1" applyFont="1" applyBorder="1"/>
    <xf numFmtId="9" fontId="2" fillId="0" borderId="0" xfId="0" applyNumberFormat="1" applyFont="1" applyBorder="1"/>
    <xf numFmtId="0" fontId="2" fillId="0" borderId="0" xfId="0" applyFont="1" applyBorder="1"/>
    <xf numFmtId="0" fontId="2" fillId="0" borderId="15" xfId="0" applyFont="1" applyBorder="1"/>
    <xf numFmtId="43" fontId="2" fillId="0" borderId="17" xfId="1" applyFont="1" applyBorder="1"/>
    <xf numFmtId="9" fontId="2" fillId="0" borderId="17" xfId="0" applyNumberFormat="1" applyFont="1" applyBorder="1"/>
    <xf numFmtId="0" fontId="2" fillId="0" borderId="17" xfId="0" applyFont="1" applyBorder="1"/>
    <xf numFmtId="0" fontId="2" fillId="0" borderId="18" xfId="0" applyFont="1" applyBorder="1"/>
    <xf numFmtId="0" fontId="8" fillId="0" borderId="0" xfId="0" applyFont="1" applyAlignment="1">
      <alignment horizontal="left"/>
    </xf>
    <xf numFmtId="0" fontId="3" fillId="0" borderId="10" xfId="0" applyFont="1" applyBorder="1"/>
    <xf numFmtId="43" fontId="2" fillId="0" borderId="11" xfId="1" applyFont="1" applyBorder="1"/>
    <xf numFmtId="9" fontId="2" fillId="0" borderId="11" xfId="1" applyNumberFormat="1" applyFont="1" applyBorder="1"/>
    <xf numFmtId="9" fontId="2" fillId="0" borderId="11" xfId="0" applyNumberFormat="1" applyFont="1" applyBorder="1"/>
    <xf numFmtId="0" fontId="2" fillId="0" borderId="11" xfId="0" applyFont="1" applyBorder="1"/>
    <xf numFmtId="0" fontId="2" fillId="0" borderId="22" xfId="0" applyFont="1" applyBorder="1"/>
    <xf numFmtId="0" fontId="2" fillId="0" borderId="1" xfId="0" applyFont="1" applyBorder="1"/>
    <xf numFmtId="0" fontId="9" fillId="0" borderId="2" xfId="1" applyNumberFormat="1" applyFont="1" applyBorder="1" applyAlignment="1">
      <alignment horizontal="center"/>
    </xf>
    <xf numFmtId="0" fontId="9" fillId="0" borderId="3" xfId="1" applyNumberFormat="1" applyFont="1" applyBorder="1" applyAlignment="1">
      <alignment horizontal="center"/>
    </xf>
    <xf numFmtId="43" fontId="3" fillId="0" borderId="0" xfId="1" applyFont="1" applyBorder="1"/>
    <xf numFmtId="10" fontId="7" fillId="0" borderId="15" xfId="3" applyNumberFormat="1" applyFont="1" applyBorder="1"/>
    <xf numFmtId="0" fontId="2" fillId="0" borderId="10" xfId="0" applyFont="1" applyBorder="1"/>
    <xf numFmtId="43" fontId="3" fillId="0" borderId="11" xfId="1" applyFont="1" applyBorder="1"/>
    <xf numFmtId="10" fontId="7" fillId="0" borderId="11" xfId="3" applyNumberFormat="1" applyFont="1" applyBorder="1"/>
    <xf numFmtId="10" fontId="7" fillId="0" borderId="22" xfId="3" applyNumberFormat="1" applyFont="1" applyBorder="1"/>
    <xf numFmtId="0" fontId="3" fillId="0" borderId="0" xfId="0" applyFont="1" applyAlignment="1">
      <alignment horizontal="left"/>
    </xf>
    <xf numFmtId="10" fontId="7" fillId="0" borderId="0" xfId="3" applyNumberFormat="1" applyFont="1"/>
    <xf numFmtId="43" fontId="2" fillId="0" borderId="0" xfId="1" applyFont="1"/>
    <xf numFmtId="43" fontId="2" fillId="0" borderId="17" xfId="0" applyNumberFormat="1" applyFont="1" applyBorder="1"/>
    <xf numFmtId="43" fontId="2" fillId="0" borderId="23" xfId="0" applyNumberFormat="1" applyFont="1" applyBorder="1"/>
    <xf numFmtId="43" fontId="2" fillId="4" borderId="0" xfId="0" applyNumberFormat="1" applyFont="1" applyFill="1"/>
    <xf numFmtId="43" fontId="2" fillId="0" borderId="24" xfId="0" applyNumberFormat="1" applyFont="1" applyBorder="1"/>
    <xf numFmtId="0" fontId="3" fillId="0" borderId="17" xfId="0" applyFont="1" applyBorder="1"/>
    <xf numFmtId="43" fontId="2" fillId="4" borderId="0" xfId="1" applyFont="1" applyFill="1"/>
    <xf numFmtId="164" fontId="2" fillId="0" borderId="0" xfId="1" applyNumberFormat="1" applyFont="1"/>
    <xf numFmtId="43" fontId="2" fillId="4" borderId="0" xfId="1" applyFont="1" applyFill="1" applyBorder="1"/>
    <xf numFmtId="0" fontId="2" fillId="0" borderId="0" xfId="0" applyFont="1" applyAlignment="1">
      <alignment vertical="center"/>
    </xf>
    <xf numFmtId="43" fontId="2" fillId="0" borderId="20" xfId="0" applyNumberFormat="1" applyFont="1" applyBorder="1"/>
    <xf numFmtId="43" fontId="2" fillId="0" borderId="21" xfId="0" applyNumberFormat="1" applyFont="1" applyBorder="1"/>
    <xf numFmtId="43" fontId="7" fillId="0" borderId="0" xfId="3" applyNumberFormat="1" applyFont="1" applyFill="1" applyBorder="1"/>
    <xf numFmtId="0" fontId="0" fillId="0" borderId="0" xfId="0" applyFont="1" applyAlignment="1">
      <alignment wrapText="1"/>
    </xf>
    <xf numFmtId="43" fontId="0" fillId="0" borderId="0" xfId="0" applyNumberFormat="1"/>
    <xf numFmtId="43" fontId="0" fillId="0" borderId="0" xfId="1" applyFont="1"/>
    <xf numFmtId="167" fontId="0" fillId="0" borderId="0" xfId="1" applyNumberFormat="1" applyFont="1"/>
    <xf numFmtId="10" fontId="0" fillId="0" borderId="0" xfId="3" applyNumberFormat="1" applyFont="1"/>
    <xf numFmtId="1" fontId="0" fillId="0" borderId="0" xfId="0" applyNumberFormat="1" applyFont="1" applyAlignment="1">
      <alignment wrapText="1"/>
    </xf>
    <xf numFmtId="0" fontId="4" fillId="0" borderId="0" xfId="0" applyFont="1"/>
    <xf numFmtId="0" fontId="0" fillId="0" borderId="0" xfId="0" applyFont="1"/>
    <xf numFmtId="8" fontId="0" fillId="0" borderId="0" xfId="0" applyNumberFormat="1" applyFont="1"/>
    <xf numFmtId="9" fontId="0" fillId="0" borderId="0" xfId="0" applyNumberFormat="1" applyFont="1"/>
    <xf numFmtId="0" fontId="11" fillId="0" borderId="0" xfId="0" applyFont="1" applyAlignment="1">
      <alignment wrapText="1"/>
    </xf>
    <xf numFmtId="43" fontId="4" fillId="0" borderId="0" xfId="1" applyFont="1"/>
    <xf numFmtId="43" fontId="0" fillId="0" borderId="0" xfId="1" applyFont="1" applyAlignment="1">
      <alignment wrapText="1"/>
    </xf>
    <xf numFmtId="43" fontId="11" fillId="0" borderId="0" xfId="1" applyFont="1" applyAlignment="1">
      <alignment wrapText="1"/>
    </xf>
    <xf numFmtId="43" fontId="11" fillId="0" borderId="0" xfId="1" applyFont="1"/>
    <xf numFmtId="0" fontId="12" fillId="0" borderId="0" xfId="0" applyFont="1"/>
    <xf numFmtId="0" fontId="13" fillId="0" borderId="0" xfId="0" applyFont="1"/>
    <xf numFmtId="43" fontId="2" fillId="0" borderId="23" xfId="1" applyFont="1" applyBorder="1"/>
    <xf numFmtId="43" fontId="2" fillId="0" borderId="0" xfId="1" applyFont="1" applyFill="1" applyBorder="1"/>
    <xf numFmtId="43" fontId="2" fillId="0" borderId="17" xfId="1" applyFont="1" applyFill="1" applyBorder="1"/>
    <xf numFmtId="43" fontId="2" fillId="0" borderId="0" xfId="1" applyFont="1" applyFill="1"/>
    <xf numFmtId="0" fontId="0" fillId="5" borderId="2" xfId="0" applyFill="1" applyBorder="1"/>
    <xf numFmtId="0" fontId="0" fillId="5" borderId="3" xfId="0" applyFill="1" applyBorder="1"/>
    <xf numFmtId="0" fontId="6" fillId="5" borderId="9" xfId="4" applyFill="1" applyBorder="1"/>
    <xf numFmtId="0" fontId="6" fillId="5" borderId="0" xfId="4" applyFill="1" applyBorder="1"/>
    <xf numFmtId="0" fontId="0" fillId="5" borderId="0" xfId="0" applyFill="1" applyBorder="1"/>
    <xf numFmtId="0" fontId="0" fillId="5" borderId="15" xfId="0" applyFill="1" applyBorder="1"/>
    <xf numFmtId="43" fontId="6" fillId="6" borderId="26" xfId="1" applyFont="1" applyFill="1" applyBorder="1"/>
    <xf numFmtId="10" fontId="6" fillId="6" borderId="26" xfId="3" applyNumberFormat="1" applyFont="1" applyFill="1" applyBorder="1" applyAlignment="1" applyProtection="1"/>
    <xf numFmtId="10" fontId="6" fillId="5" borderId="0" xfId="5" applyNumberFormat="1" applyFont="1" applyFill="1" applyBorder="1" applyAlignment="1" applyProtection="1"/>
    <xf numFmtId="0" fontId="15" fillId="7" borderId="0" xfId="4" applyFont="1" applyFill="1" applyBorder="1"/>
    <xf numFmtId="10" fontId="14" fillId="3" borderId="0" xfId="5" applyNumberFormat="1" applyFont="1" applyFill="1" applyBorder="1" applyAlignment="1" applyProtection="1"/>
    <xf numFmtId="0" fontId="6" fillId="5" borderId="0" xfId="4" applyFont="1" applyFill="1" applyBorder="1"/>
    <xf numFmtId="166" fontId="16" fillId="5" borderId="0" xfId="5" applyNumberFormat="1" applyFont="1" applyFill="1" applyBorder="1" applyAlignment="1" applyProtection="1"/>
    <xf numFmtId="10" fontId="14" fillId="8" borderId="0" xfId="5" applyNumberFormat="1" applyFont="1" applyFill="1" applyBorder="1" applyAlignment="1" applyProtection="1"/>
    <xf numFmtId="166" fontId="6" fillId="5" borderId="0" xfId="5" applyNumberFormat="1" applyFont="1" applyFill="1" applyBorder="1" applyAlignment="1" applyProtection="1"/>
    <xf numFmtId="10" fontId="17" fillId="6" borderId="26" xfId="5" applyNumberFormat="1" applyFont="1" applyFill="1" applyBorder="1" applyAlignment="1" applyProtection="1"/>
    <xf numFmtId="0" fontId="0" fillId="5" borderId="9" xfId="0" applyFill="1" applyBorder="1"/>
    <xf numFmtId="0" fontId="18" fillId="5" borderId="1" xfId="0" applyFont="1" applyFill="1" applyBorder="1"/>
    <xf numFmtId="43" fontId="0" fillId="6" borderId="8" xfId="1" applyFont="1" applyFill="1" applyBorder="1"/>
    <xf numFmtId="43" fontId="0" fillId="6" borderId="26" xfId="1" applyFont="1" applyFill="1" applyBorder="1"/>
    <xf numFmtId="43" fontId="0" fillId="5" borderId="15" xfId="1" applyFont="1" applyFill="1" applyBorder="1"/>
    <xf numFmtId="43" fontId="1" fillId="5" borderId="15" xfId="1" applyFont="1" applyFill="1" applyBorder="1"/>
    <xf numFmtId="43" fontId="0" fillId="5" borderId="0" xfId="1" applyFont="1" applyFill="1" applyBorder="1"/>
    <xf numFmtId="43" fontId="19" fillId="5" borderId="15" xfId="1" applyFont="1" applyFill="1" applyBorder="1"/>
    <xf numFmtId="0" fontId="4" fillId="5" borderId="10" xfId="0" applyFont="1" applyFill="1" applyBorder="1"/>
    <xf numFmtId="0" fontId="0" fillId="5" borderId="11" xfId="0" applyFill="1" applyBorder="1"/>
    <xf numFmtId="43" fontId="20" fillId="5" borderId="22" xfId="0" applyNumberFormat="1" applyFont="1" applyFill="1" applyBorder="1"/>
    <xf numFmtId="0" fontId="21" fillId="5" borderId="0" xfId="0" applyFont="1" applyFill="1" applyBorder="1"/>
    <xf numFmtId="0" fontId="4" fillId="5" borderId="9" xfId="0" applyFont="1" applyFill="1" applyBorder="1"/>
    <xf numFmtId="0" fontId="22" fillId="5" borderId="0" xfId="0" applyFont="1" applyFill="1" applyBorder="1" applyAlignment="1">
      <alignment horizontal="center"/>
    </xf>
    <xf numFmtId="0" fontId="22" fillId="5" borderId="15" xfId="0" applyFont="1" applyFill="1" applyBorder="1" applyAlignment="1">
      <alignment horizontal="center"/>
    </xf>
    <xf numFmtId="0" fontId="0" fillId="6" borderId="7" xfId="0" applyFill="1" applyBorder="1"/>
    <xf numFmtId="43" fontId="0" fillId="6" borderId="29" xfId="1" applyFont="1" applyFill="1" applyBorder="1"/>
    <xf numFmtId="10" fontId="0" fillId="5" borderId="30" xfId="3" applyNumberFormat="1" applyFont="1" applyFill="1" applyBorder="1"/>
    <xf numFmtId="9" fontId="0" fillId="5" borderId="15" xfId="0" applyNumberFormat="1" applyFill="1" applyBorder="1"/>
    <xf numFmtId="0" fontId="0" fillId="6" borderId="8" xfId="0" applyFill="1" applyBorder="1"/>
    <xf numFmtId="43" fontId="0" fillId="6" borderId="28" xfId="1" applyFont="1" applyFill="1" applyBorder="1"/>
    <xf numFmtId="10" fontId="0" fillId="5" borderId="27" xfId="3" applyNumberFormat="1" applyFont="1" applyFill="1" applyBorder="1"/>
    <xf numFmtId="9" fontId="0" fillId="5" borderId="15" xfId="3" applyFont="1" applyFill="1" applyBorder="1"/>
    <xf numFmtId="43" fontId="0" fillId="6" borderId="8" xfId="0" applyNumberFormat="1" applyFill="1" applyBorder="1"/>
    <xf numFmtId="0" fontId="0" fillId="6" borderId="13" xfId="0" applyFill="1" applyBorder="1"/>
    <xf numFmtId="43" fontId="0" fillId="6" borderId="31" xfId="1" applyFont="1" applyFill="1" applyBorder="1"/>
    <xf numFmtId="0" fontId="4" fillId="2" borderId="0" xfId="0" applyFont="1" applyFill="1" applyBorder="1"/>
    <xf numFmtId="43" fontId="4" fillId="2" borderId="0" xfId="0" applyNumberFormat="1" applyFont="1" applyFill="1" applyBorder="1"/>
    <xf numFmtId="10" fontId="4" fillId="2" borderId="0" xfId="0" applyNumberFormat="1" applyFont="1" applyFill="1" applyBorder="1"/>
    <xf numFmtId="43" fontId="4" fillId="9" borderId="0" xfId="0" applyNumberFormat="1" applyFont="1" applyFill="1" applyBorder="1"/>
    <xf numFmtId="10" fontId="4" fillId="2" borderId="0" xfId="3" applyNumberFormat="1" applyFont="1" applyFill="1" applyBorder="1"/>
    <xf numFmtId="10" fontId="0" fillId="5" borderId="15" xfId="3" applyNumberFormat="1" applyFont="1" applyFill="1" applyBorder="1"/>
    <xf numFmtId="0" fontId="0" fillId="3" borderId="9" xfId="0" applyFill="1" applyBorder="1"/>
    <xf numFmtId="0" fontId="0" fillId="3" borderId="0" xfId="0" applyFill="1" applyBorder="1"/>
    <xf numFmtId="43" fontId="0" fillId="3" borderId="0" xfId="0" applyNumberFormat="1" applyFill="1" applyBorder="1"/>
    <xf numFmtId="0" fontId="0" fillId="3" borderId="15" xfId="0" applyFill="1" applyBorder="1"/>
    <xf numFmtId="43" fontId="0" fillId="5" borderId="0" xfId="0" applyNumberFormat="1" applyFill="1" applyBorder="1"/>
    <xf numFmtId="0" fontId="4" fillId="2" borderId="9" xfId="0" applyFont="1" applyFill="1" applyBorder="1"/>
    <xf numFmtId="43" fontId="4" fillId="2" borderId="0" xfId="1" applyFont="1" applyFill="1" applyBorder="1"/>
    <xf numFmtId="43" fontId="4" fillId="10" borderId="0" xfId="1" applyFont="1" applyFill="1" applyBorder="1"/>
    <xf numFmtId="0" fontId="10" fillId="4" borderId="4" xfId="4" applyFont="1" applyFill="1" applyBorder="1"/>
    <xf numFmtId="0" fontId="6" fillId="4" borderId="5" xfId="4" applyFill="1" applyBorder="1"/>
    <xf numFmtId="10" fontId="6" fillId="4" borderId="25" xfId="5" applyNumberFormat="1" applyFill="1" applyBorder="1"/>
    <xf numFmtId="10" fontId="6" fillId="5" borderId="5" xfId="5" applyNumberFormat="1" applyFill="1" applyBorder="1"/>
    <xf numFmtId="0" fontId="0" fillId="5" borderId="5" xfId="0" applyFill="1" applyBorder="1"/>
    <xf numFmtId="0" fontId="0" fillId="5" borderId="6" xfId="0" applyFill="1" applyBorder="1"/>
    <xf numFmtId="0" fontId="6" fillId="3" borderId="10" xfId="4" applyFill="1" applyBorder="1"/>
    <xf numFmtId="0" fontId="6" fillId="3" borderId="11" xfId="4" applyFill="1" applyBorder="1"/>
    <xf numFmtId="10" fontId="6" fillId="3" borderId="11" xfId="5" applyNumberFormat="1" applyFill="1" applyBorder="1"/>
    <xf numFmtId="0" fontId="0" fillId="3" borderId="11" xfId="0" applyFill="1" applyBorder="1"/>
    <xf numFmtId="0" fontId="0" fillId="3" borderId="22" xfId="0" applyFill="1" applyBorder="1"/>
    <xf numFmtId="10" fontId="6" fillId="5" borderId="0" xfId="4" applyNumberFormat="1" applyFill="1" applyBorder="1"/>
    <xf numFmtId="166" fontId="6" fillId="5" borderId="0" xfId="4" applyNumberFormat="1" applyFill="1" applyBorder="1"/>
    <xf numFmtId="166" fontId="6" fillId="5" borderId="15" xfId="4" applyNumberFormat="1" applyFill="1" applyBorder="1"/>
    <xf numFmtId="0" fontId="6" fillId="5" borderId="10" xfId="4" quotePrefix="1" applyFill="1" applyBorder="1"/>
    <xf numFmtId="0" fontId="6" fillId="5" borderId="11" xfId="4" applyFill="1" applyBorder="1"/>
    <xf numFmtId="0" fontId="0" fillId="5" borderId="22" xfId="0" applyFill="1" applyBorder="1"/>
    <xf numFmtId="43" fontId="0" fillId="6" borderId="7" xfId="0" applyNumberFormat="1" applyFill="1" applyBorder="1"/>
    <xf numFmtId="10" fontId="0" fillId="5" borderId="12" xfId="3" applyNumberFormat="1" applyFont="1" applyFill="1" applyBorder="1"/>
    <xf numFmtId="43" fontId="0" fillId="6" borderId="32" xfId="1" applyFont="1" applyFill="1" applyBorder="1"/>
    <xf numFmtId="43" fontId="0" fillId="6" borderId="33" xfId="1" applyFont="1" applyFill="1" applyBorder="1"/>
    <xf numFmtId="43" fontId="0" fillId="5" borderId="22" xfId="1" applyFont="1" applyFill="1" applyBorder="1"/>
    <xf numFmtId="10" fontId="0" fillId="5" borderId="3" xfId="3" applyNumberFormat="1" applyFont="1" applyFill="1" applyBorder="1"/>
    <xf numFmtId="10" fontId="0" fillId="5" borderId="22" xfId="3" applyNumberFormat="1" applyFont="1" applyFill="1" applyBorder="1"/>
    <xf numFmtId="9" fontId="2" fillId="11" borderId="0" xfId="0" applyNumberFormat="1" applyFont="1" applyFill="1" applyBorder="1" applyAlignment="1">
      <alignment horizontal="right"/>
    </xf>
    <xf numFmtId="43" fontId="7" fillId="11" borderId="0" xfId="1" applyFont="1" applyFill="1" applyBorder="1"/>
    <xf numFmtId="43" fontId="7" fillId="11" borderId="17" xfId="1" applyFont="1" applyFill="1" applyBorder="1"/>
    <xf numFmtId="43" fontId="7" fillId="11" borderId="20" xfId="1" applyFont="1" applyFill="1" applyBorder="1"/>
    <xf numFmtId="10" fontId="7" fillId="11" borderId="0" xfId="3" applyNumberFormat="1" applyFont="1" applyFill="1" applyBorder="1"/>
    <xf numFmtId="44" fontId="7" fillId="11" borderId="0" xfId="2" applyFont="1" applyFill="1" applyBorder="1"/>
    <xf numFmtId="10" fontId="7" fillId="11" borderId="20" xfId="3" applyNumberFormat="1" applyFont="1" applyFill="1" applyBorder="1"/>
    <xf numFmtId="44" fontId="7" fillId="11" borderId="20" xfId="2" applyFont="1" applyFill="1" applyBorder="1"/>
    <xf numFmtId="165" fontId="7" fillId="0" borderId="0" xfId="1" applyNumberFormat="1" applyFont="1" applyFill="1" applyBorder="1"/>
    <xf numFmtId="9" fontId="7" fillId="11" borderId="0" xfId="3" applyFont="1" applyFill="1" applyBorder="1"/>
    <xf numFmtId="10" fontId="7" fillId="11" borderId="0" xfId="1" applyNumberFormat="1" applyFont="1" applyFill="1" applyBorder="1"/>
    <xf numFmtId="14" fontId="7" fillId="11" borderId="0" xfId="1" applyNumberFormat="1" applyFont="1" applyFill="1" applyBorder="1"/>
    <xf numFmtId="14" fontId="7" fillId="11" borderId="17" xfId="1" applyNumberFormat="1" applyFont="1" applyFill="1" applyBorder="1"/>
    <xf numFmtId="44" fontId="7" fillId="11" borderId="11" xfId="2" applyFont="1" applyFill="1" applyBorder="1"/>
    <xf numFmtId="43" fontId="2" fillId="0" borderId="15" xfId="1" applyFont="1" applyBorder="1"/>
    <xf numFmtId="0" fontId="2" fillId="11" borderId="2" xfId="0" applyFont="1" applyFill="1" applyBorder="1" applyAlignment="1">
      <alignment horizontal="right"/>
    </xf>
    <xf numFmtId="0" fontId="8" fillId="0" borderId="0" xfId="0" applyFont="1" applyBorder="1"/>
    <xf numFmtId="43" fontId="2" fillId="0" borderId="0" xfId="0" applyNumberFormat="1" applyFont="1" applyBorder="1"/>
    <xf numFmtId="0" fontId="7" fillId="0" borderId="0" xfId="4" applyFont="1" applyBorder="1"/>
    <xf numFmtId="0" fontId="8" fillId="0" borderId="0" xfId="0" applyFont="1" applyBorder="1" applyAlignment="1">
      <alignment horizontal="left"/>
    </xf>
    <xf numFmtId="10" fontId="7" fillId="11" borderId="17" xfId="3" applyNumberFormat="1" applyFont="1" applyFill="1" applyBorder="1"/>
    <xf numFmtId="0" fontId="8" fillId="0" borderId="0" xfId="0" applyFont="1" applyBorder="1" applyAlignment="1">
      <alignment vertical="center"/>
    </xf>
    <xf numFmtId="0" fontId="8" fillId="0" borderId="0" xfId="0" applyFont="1" applyFill="1" applyBorder="1"/>
    <xf numFmtId="0" fontId="2" fillId="0" borderId="0" xfId="0" applyFont="1" applyAlignment="1">
      <alignment horizontal="right"/>
    </xf>
    <xf numFmtId="0" fontId="0" fillId="0" borderId="9" xfId="0" applyBorder="1"/>
    <xf numFmtId="0" fontId="0" fillId="0" borderId="0" xfId="0" applyBorder="1"/>
    <xf numFmtId="0" fontId="0" fillId="0" borderId="15" xfId="0" applyBorder="1"/>
    <xf numFmtId="43" fontId="0" fillId="0" borderId="0" xfId="1" applyFont="1" applyBorder="1"/>
    <xf numFmtId="43" fontId="0" fillId="0" borderId="15" xfId="1" applyFont="1" applyBorder="1"/>
    <xf numFmtId="43" fontId="4" fillId="0" borderId="0" xfId="0" applyNumberFormat="1" applyFont="1" applyBorder="1"/>
    <xf numFmtId="43" fontId="4" fillId="0" borderId="15" xfId="0" applyNumberFormat="1" applyFont="1" applyBorder="1"/>
    <xf numFmtId="0" fontId="0" fillId="0" borderId="10" xfId="0" applyBorder="1"/>
    <xf numFmtId="0" fontId="0" fillId="0" borderId="11" xfId="0" applyBorder="1"/>
    <xf numFmtId="43" fontId="4" fillId="0" borderId="11" xfId="0" applyNumberFormat="1" applyFont="1" applyBorder="1"/>
    <xf numFmtId="43" fontId="4" fillId="0" borderId="22" xfId="0" applyNumberFormat="1" applyFont="1" applyBorder="1"/>
    <xf numFmtId="0" fontId="14" fillId="4" borderId="5" xfId="4" applyFont="1" applyFill="1" applyBorder="1"/>
    <xf numFmtId="0" fontId="0" fillId="4" borderId="5" xfId="0" applyFill="1" applyBorder="1"/>
    <xf numFmtId="0" fontId="0" fillId="4" borderId="6" xfId="0" applyFill="1" applyBorder="1"/>
    <xf numFmtId="43" fontId="0" fillId="6" borderId="8" xfId="1" applyFont="1" applyFill="1" applyBorder="1" applyAlignment="1">
      <alignment wrapText="1"/>
    </xf>
    <xf numFmtId="43" fontId="9" fillId="0" borderId="20" xfId="1" applyFont="1" applyBorder="1"/>
    <xf numFmtId="44" fontId="7" fillId="0" borderId="0" xfId="2" applyFont="1" applyBorder="1"/>
    <xf numFmtId="44" fontId="7" fillId="0" borderId="15" xfId="2" applyFont="1" applyBorder="1"/>
    <xf numFmtId="44" fontId="2" fillId="0" borderId="21" xfId="2" applyFont="1" applyBorder="1"/>
    <xf numFmtId="44" fontId="2" fillId="0" borderId="0" xfId="2" applyFont="1" applyBorder="1"/>
    <xf numFmtId="0" fontId="7" fillId="0" borderId="17" xfId="4" applyFont="1" applyBorder="1"/>
    <xf numFmtId="0" fontId="3" fillId="0" borderId="34" xfId="0" applyFont="1" applyBorder="1" applyAlignment="1"/>
    <xf numFmtId="10" fontId="7" fillId="11" borderId="35" xfId="3" applyNumberFormat="1" applyFont="1" applyFill="1" applyBorder="1"/>
    <xf numFmtId="43" fontId="7" fillId="0" borderId="35" xfId="1" applyFont="1" applyBorder="1"/>
    <xf numFmtId="10" fontId="7" fillId="0" borderId="35" xfId="3" applyNumberFormat="1" applyFont="1" applyBorder="1"/>
    <xf numFmtId="10" fontId="7" fillId="0" borderId="36" xfId="3" applyNumberFormat="1" applyFont="1" applyBorder="1"/>
    <xf numFmtId="0" fontId="24" fillId="0" borderId="0" xfId="6"/>
    <xf numFmtId="0" fontId="22" fillId="12" borderId="1" xfId="0" applyFont="1" applyFill="1" applyBorder="1"/>
    <xf numFmtId="0" fontId="22" fillId="12" borderId="2" xfId="0" applyFont="1" applyFill="1" applyBorder="1"/>
    <xf numFmtId="0" fontId="0" fillId="12" borderId="9" xfId="0" applyFill="1" applyBorder="1"/>
    <xf numFmtId="0" fontId="0" fillId="12" borderId="0" xfId="0" applyFill="1" applyBorder="1"/>
    <xf numFmtId="0" fontId="4" fillId="12" borderId="9" xfId="0" applyFont="1" applyFill="1" applyBorder="1"/>
    <xf numFmtId="0" fontId="4" fillId="12" borderId="0" xfId="0" applyFont="1" applyFill="1" applyBorder="1"/>
    <xf numFmtId="0" fontId="22" fillId="12" borderId="9" xfId="0" applyFont="1" applyFill="1" applyBorder="1"/>
    <xf numFmtId="0" fontId="22" fillId="12" borderId="0" xfId="0" applyFont="1" applyFill="1" applyBorder="1"/>
    <xf numFmtId="0" fontId="4" fillId="12" borderId="10" xfId="0" applyFont="1" applyFill="1" applyBorder="1"/>
    <xf numFmtId="0" fontId="4" fillId="12" borderId="11" xfId="0" applyFont="1" applyFill="1" applyBorder="1"/>
    <xf numFmtId="0" fontId="22" fillId="12" borderId="3" xfId="0" applyFont="1" applyFill="1" applyBorder="1"/>
    <xf numFmtId="0" fontId="6" fillId="5" borderId="1" xfId="4" applyFill="1" applyBorder="1"/>
    <xf numFmtId="0" fontId="6" fillId="5" borderId="2" xfId="4" applyFill="1" applyBorder="1"/>
    <xf numFmtId="0" fontId="7" fillId="5" borderId="0" xfId="4" applyFont="1" applyFill="1" applyBorder="1"/>
    <xf numFmtId="0" fontId="0" fillId="0" borderId="26" xfId="0" applyBorder="1"/>
    <xf numFmtId="0" fontId="0" fillId="0" borderId="8" xfId="0" applyBorder="1"/>
    <xf numFmtId="10" fontId="0" fillId="0" borderId="38" xfId="3" applyNumberFormat="1" applyFont="1" applyBorder="1"/>
    <xf numFmtId="0" fontId="4" fillId="0" borderId="40" xfId="0" applyFont="1" applyBorder="1"/>
    <xf numFmtId="0" fontId="4" fillId="0" borderId="41" xfId="0" applyFont="1" applyBorder="1"/>
    <xf numFmtId="0" fontId="0" fillId="0" borderId="42" xfId="0" applyBorder="1"/>
    <xf numFmtId="10" fontId="0" fillId="6" borderId="26" xfId="3" applyNumberFormat="1" applyFont="1" applyFill="1" applyBorder="1"/>
    <xf numFmtId="10" fontId="0" fillId="6" borderId="43" xfId="3" applyNumberFormat="1" applyFont="1" applyFill="1" applyBorder="1"/>
    <xf numFmtId="10" fontId="0" fillId="0" borderId="38" xfId="3" applyNumberFormat="1" applyFont="1" applyFill="1" applyBorder="1"/>
    <xf numFmtId="0" fontId="0" fillId="0" borderId="44" xfId="0" applyBorder="1"/>
    <xf numFmtId="0" fontId="0" fillId="0" borderId="40" xfId="0" applyBorder="1"/>
    <xf numFmtId="0" fontId="0" fillId="0" borderId="41" xfId="0" applyBorder="1"/>
    <xf numFmtId="0" fontId="0" fillId="0" borderId="13" xfId="0" applyBorder="1"/>
    <xf numFmtId="10" fontId="0" fillId="0" borderId="45" xfId="3" applyNumberFormat="1" applyFont="1" applyFill="1" applyBorder="1"/>
    <xf numFmtId="10" fontId="4" fillId="4" borderId="25" xfId="3" applyNumberFormat="1" applyFont="1" applyFill="1" applyBorder="1"/>
    <xf numFmtId="0" fontId="4" fillId="0" borderId="41" xfId="0" applyFont="1" applyBorder="1" applyAlignment="1">
      <alignment wrapText="1"/>
    </xf>
    <xf numFmtId="0" fontId="4" fillId="0" borderId="40" xfId="0" applyFont="1" applyBorder="1" applyAlignment="1">
      <alignment wrapText="1"/>
    </xf>
    <xf numFmtId="10" fontId="0" fillId="4" borderId="25" xfId="0" applyNumberFormat="1" applyFill="1" applyBorder="1"/>
    <xf numFmtId="10" fontId="0" fillId="6" borderId="33" xfId="3" applyNumberFormat="1" applyFont="1" applyFill="1" applyBorder="1"/>
    <xf numFmtId="0" fontId="0" fillId="0" borderId="38" xfId="0" applyBorder="1"/>
    <xf numFmtId="0" fontId="0" fillId="0" borderId="33" xfId="0" applyBorder="1"/>
    <xf numFmtId="0" fontId="0" fillId="0" borderId="39" xfId="0" applyBorder="1"/>
    <xf numFmtId="9" fontId="0" fillId="0" borderId="0" xfId="0" applyNumberFormat="1"/>
    <xf numFmtId="0" fontId="0" fillId="0" borderId="0" xfId="0" applyNumberFormat="1"/>
    <xf numFmtId="0" fontId="0" fillId="0" borderId="0" xfId="0" applyAlignment="1"/>
    <xf numFmtId="0" fontId="6" fillId="0" borderId="0" xfId="4"/>
    <xf numFmtId="169" fontId="0" fillId="0" borderId="0" xfId="0" applyNumberFormat="1"/>
    <xf numFmtId="0" fontId="0" fillId="0" borderId="0" xfId="0" quotePrefix="1" applyAlignment="1"/>
    <xf numFmtId="37" fontId="0" fillId="0" borderId="0" xfId="0" applyNumberFormat="1"/>
    <xf numFmtId="0" fontId="4" fillId="0" borderId="0" xfId="0" applyFont="1" applyAlignment="1"/>
    <xf numFmtId="39" fontId="4" fillId="0" borderId="0" xfId="0" applyNumberFormat="1" applyFont="1"/>
    <xf numFmtId="43" fontId="4" fillId="0" borderId="0" xfId="1" applyNumberFormat="1" applyFont="1"/>
    <xf numFmtId="43" fontId="0" fillId="0" borderId="0" xfId="1" applyNumberFormat="1" applyFont="1" applyAlignment="1"/>
    <xf numFmtId="43" fontId="0" fillId="0" borderId="0" xfId="1" applyNumberFormat="1" applyFont="1"/>
    <xf numFmtId="8" fontId="0" fillId="0" borderId="0" xfId="0" applyNumberFormat="1"/>
    <xf numFmtId="10" fontId="0" fillId="0" borderId="0" xfId="0" applyNumberFormat="1"/>
    <xf numFmtId="166" fontId="6" fillId="0" borderId="0" xfId="5" applyNumberFormat="1"/>
    <xf numFmtId="164" fontId="0" fillId="0" borderId="0" xfId="0" applyNumberFormat="1"/>
    <xf numFmtId="0" fontId="0" fillId="0" borderId="0" xfId="2" applyNumberFormat="1" applyFont="1"/>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4" borderId="6" xfId="0" applyFont="1" applyFill="1" applyBorder="1" applyAlignment="1">
      <alignment horizont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22" xfId="0" applyFont="1" applyFill="1" applyBorder="1" applyAlignment="1">
      <alignment horizontal="center" vertical="center"/>
    </xf>
    <xf numFmtId="0" fontId="3" fillId="0" borderId="19" xfId="0" applyFont="1" applyBorder="1" applyAlignment="1">
      <alignment horizontal="left" wrapText="1"/>
    </xf>
    <xf numFmtId="0" fontId="3" fillId="0" borderId="16" xfId="0" applyFont="1" applyBorder="1" applyAlignment="1">
      <alignment horizontal="left" wrapText="1"/>
    </xf>
    <xf numFmtId="0" fontId="8" fillId="0" borderId="9" xfId="0" applyFont="1" applyBorder="1" applyAlignment="1">
      <alignment horizontal="left" wrapText="1"/>
    </xf>
    <xf numFmtId="0" fontId="8" fillId="0" borderId="0" xfId="0" applyFont="1" applyBorder="1" applyAlignment="1">
      <alignment horizontal="left" wrapText="1"/>
    </xf>
    <xf numFmtId="10" fontId="23" fillId="3" borderId="1" xfId="0" applyNumberFormat="1" applyFont="1" applyFill="1" applyBorder="1" applyAlignment="1">
      <alignment horizontal="center"/>
    </xf>
    <xf numFmtId="10" fontId="23" fillId="3" borderId="3" xfId="0" applyNumberFormat="1" applyFont="1" applyFill="1" applyBorder="1" applyAlignment="1">
      <alignment horizontal="center"/>
    </xf>
    <xf numFmtId="0" fontId="0" fillId="12" borderId="0" xfId="0" applyFill="1" applyBorder="1" applyAlignment="1">
      <alignment horizontal="center"/>
    </xf>
    <xf numFmtId="0" fontId="0" fillId="12" borderId="15" xfId="0" applyFill="1" applyBorder="1" applyAlignment="1">
      <alignment horizontal="center"/>
    </xf>
    <xf numFmtId="9" fontId="0" fillId="2" borderId="7" xfId="0" applyNumberFormat="1" applyFill="1" applyBorder="1" applyAlignment="1">
      <alignment horizontal="right"/>
    </xf>
    <xf numFmtId="9" fontId="0" fillId="2" borderId="37" xfId="0" applyNumberFormat="1" applyFill="1" applyBorder="1" applyAlignment="1">
      <alignment horizontal="right"/>
    </xf>
    <xf numFmtId="9" fontId="0" fillId="2" borderId="8" xfId="0" applyNumberFormat="1" applyFill="1" applyBorder="1" applyAlignment="1">
      <alignment horizontal="right"/>
    </xf>
    <xf numFmtId="9" fontId="0" fillId="2" borderId="38" xfId="0" applyNumberFormat="1" applyFill="1" applyBorder="1" applyAlignment="1">
      <alignment horizontal="right"/>
    </xf>
    <xf numFmtId="168" fontId="23" fillId="3" borderId="10" xfId="1" applyNumberFormat="1" applyFont="1" applyFill="1" applyBorder="1" applyAlignment="1">
      <alignment horizontal="center"/>
    </xf>
    <xf numFmtId="168" fontId="23" fillId="3" borderId="22" xfId="1" applyNumberFormat="1" applyFont="1" applyFill="1" applyBorder="1" applyAlignment="1">
      <alignment horizontal="center"/>
    </xf>
    <xf numFmtId="10" fontId="23" fillId="3" borderId="9" xfId="0" applyNumberFormat="1" applyFont="1" applyFill="1" applyBorder="1" applyAlignment="1">
      <alignment horizontal="center"/>
    </xf>
    <xf numFmtId="10" fontId="23" fillId="3" borderId="15" xfId="0" applyNumberFormat="1" applyFont="1" applyFill="1" applyBorder="1" applyAlignment="1">
      <alignment horizontal="center"/>
    </xf>
    <xf numFmtId="9" fontId="23" fillId="3" borderId="9" xfId="0" applyNumberFormat="1" applyFont="1" applyFill="1" applyBorder="1" applyAlignment="1">
      <alignment horizontal="center"/>
    </xf>
    <xf numFmtId="9" fontId="23" fillId="3" borderId="15" xfId="0" applyNumberFormat="1" applyFont="1" applyFill="1" applyBorder="1" applyAlignment="1">
      <alignment horizontal="center"/>
    </xf>
    <xf numFmtId="164" fontId="23" fillId="3" borderId="9" xfId="0" applyNumberFormat="1" applyFont="1" applyFill="1" applyBorder="1" applyAlignment="1">
      <alignment horizontal="center"/>
    </xf>
    <xf numFmtId="164" fontId="23" fillId="3" borderId="15" xfId="0" applyNumberFormat="1" applyFont="1" applyFill="1" applyBorder="1" applyAlignment="1">
      <alignment horizontal="center"/>
    </xf>
    <xf numFmtId="43" fontId="25" fillId="6" borderId="10" xfId="1" applyFont="1" applyFill="1" applyBorder="1" applyAlignment="1">
      <alignment horizontal="center"/>
    </xf>
    <xf numFmtId="43" fontId="25" fillId="6" borderId="22" xfId="1" applyFont="1" applyFill="1" applyBorder="1" applyAlignment="1">
      <alignment horizontal="center"/>
    </xf>
    <xf numFmtId="0" fontId="0" fillId="0" borderId="0" xfId="0"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0" borderId="4" xfId="0" applyFont="1" applyBorder="1" applyAlignment="1">
      <alignment horizontal="right"/>
    </xf>
    <xf numFmtId="0" fontId="4" fillId="0" borderId="5" xfId="0" applyFont="1" applyBorder="1" applyAlignment="1">
      <alignment horizontal="right"/>
    </xf>
    <xf numFmtId="0" fontId="4" fillId="0" borderId="6" xfId="0" applyFont="1" applyBorder="1" applyAlignment="1">
      <alignment horizontal="right"/>
    </xf>
    <xf numFmtId="0" fontId="4" fillId="12" borderId="4" xfId="0" applyFont="1" applyFill="1" applyBorder="1" applyAlignment="1">
      <alignment horizontal="center"/>
    </xf>
    <xf numFmtId="0" fontId="4" fillId="12" borderId="5" xfId="0" applyFont="1" applyFill="1" applyBorder="1" applyAlignment="1">
      <alignment horizontal="center"/>
    </xf>
    <xf numFmtId="0" fontId="4" fillId="12" borderId="6" xfId="0" applyFont="1" applyFill="1" applyBorder="1" applyAlignment="1">
      <alignment horizontal="center"/>
    </xf>
    <xf numFmtId="0" fontId="26" fillId="12" borderId="4" xfId="0" applyFont="1" applyFill="1" applyBorder="1" applyAlignment="1">
      <alignment horizontal="center"/>
    </xf>
    <xf numFmtId="0" fontId="26" fillId="12" borderId="5" xfId="0" applyFont="1" applyFill="1" applyBorder="1" applyAlignment="1">
      <alignment horizontal="center"/>
    </xf>
    <xf numFmtId="0" fontId="26" fillId="12" borderId="6" xfId="0" applyFont="1" applyFill="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cellXfs>
  <cellStyles count="7">
    <cellStyle name="Comma" xfId="1" builtinId="3"/>
    <cellStyle name="Currency" xfId="2" builtinId="4"/>
    <cellStyle name="Excel Built-in Normal" xfId="4"/>
    <cellStyle name="Hyperlink" xfId="6" builtinId="8"/>
    <cellStyle name="Normal" xfId="0" builtinId="0"/>
    <cellStyle name="Percent" xfId="3" builtinId="5"/>
    <cellStyle name="Percent 2" xf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190500</xdr:colOff>
          <xdr:row>122</xdr:row>
          <xdr:rowOff>0</xdr:rowOff>
        </xdr:from>
        <xdr:to>
          <xdr:col>4</xdr:col>
          <xdr:colOff>962025</xdr:colOff>
          <xdr:row>124</xdr:row>
          <xdr:rowOff>0</xdr:rowOff>
        </xdr:to>
        <xdr:sp macro="" textlink="">
          <xdr:nvSpPr>
            <xdr:cNvPr id="2059" name="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Cash Year 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121</xdr:row>
          <xdr:rowOff>200025</xdr:rowOff>
        </xdr:from>
        <xdr:to>
          <xdr:col>5</xdr:col>
          <xdr:colOff>809625</xdr:colOff>
          <xdr:row>123</xdr:row>
          <xdr:rowOff>200025</xdr:rowOff>
        </xdr:to>
        <xdr:sp macro="" textlink="">
          <xdr:nvSpPr>
            <xdr:cNvPr id="2060" name="Button 12" hidden="1">
              <a:extLst>
                <a:ext uri="{63B3BB69-23CF-44E3-9099-C40C66FF867C}">
                  <a14:compatExt spid="_x0000_s206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Cash Year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121</xdr:row>
          <xdr:rowOff>200025</xdr:rowOff>
        </xdr:from>
        <xdr:to>
          <xdr:col>6</xdr:col>
          <xdr:colOff>819150</xdr:colOff>
          <xdr:row>123</xdr:row>
          <xdr:rowOff>200025</xdr:rowOff>
        </xdr:to>
        <xdr:sp macro="" textlink="">
          <xdr:nvSpPr>
            <xdr:cNvPr id="2061" name="Button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Cash Year 4</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762000</xdr:colOff>
          <xdr:row>122</xdr:row>
          <xdr:rowOff>0</xdr:rowOff>
        </xdr:from>
        <xdr:to>
          <xdr:col>3</xdr:col>
          <xdr:colOff>1533525</xdr:colOff>
          <xdr:row>124</xdr:row>
          <xdr:rowOff>0</xdr:rowOff>
        </xdr:to>
        <xdr:sp macro="" textlink="">
          <xdr:nvSpPr>
            <xdr:cNvPr id="2062" name="Button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Cash Year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125</xdr:row>
          <xdr:rowOff>19050</xdr:rowOff>
        </xdr:from>
        <xdr:to>
          <xdr:col>4</xdr:col>
          <xdr:colOff>952500</xdr:colOff>
          <xdr:row>127</xdr:row>
          <xdr:rowOff>0</xdr:rowOff>
        </xdr:to>
        <xdr:sp macro="" textlink="">
          <xdr:nvSpPr>
            <xdr:cNvPr id="2063" name="Button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DFN Year 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125</xdr:row>
          <xdr:rowOff>9525</xdr:rowOff>
        </xdr:from>
        <xdr:to>
          <xdr:col>5</xdr:col>
          <xdr:colOff>809625</xdr:colOff>
          <xdr:row>127</xdr:row>
          <xdr:rowOff>0</xdr:rowOff>
        </xdr:to>
        <xdr:sp macro="" textlink="">
          <xdr:nvSpPr>
            <xdr:cNvPr id="2064" name="Button 16" hidden="1">
              <a:extLst>
                <a:ext uri="{63B3BB69-23CF-44E3-9099-C40C66FF867C}">
                  <a14:compatExt spid="_x0000_s206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DFN Year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125</xdr:row>
          <xdr:rowOff>9525</xdr:rowOff>
        </xdr:from>
        <xdr:to>
          <xdr:col>6</xdr:col>
          <xdr:colOff>819150</xdr:colOff>
          <xdr:row>127</xdr:row>
          <xdr:rowOff>0</xdr:rowOff>
        </xdr:to>
        <xdr:sp macro="" textlink="">
          <xdr:nvSpPr>
            <xdr:cNvPr id="2065" name="Button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DFN Year 4</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762000</xdr:colOff>
          <xdr:row>125</xdr:row>
          <xdr:rowOff>19050</xdr:rowOff>
        </xdr:from>
        <xdr:to>
          <xdr:col>3</xdr:col>
          <xdr:colOff>1533525</xdr:colOff>
          <xdr:row>127</xdr:row>
          <xdr:rowOff>0</xdr:rowOff>
        </xdr:to>
        <xdr:sp macro="" textlink="">
          <xdr:nvSpPr>
            <xdr:cNvPr id="2066" name="Button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DFN Year 1</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3" Type="http://schemas.openxmlformats.org/officeDocument/2006/relationships/hyperlink" Target="http://quicktake.morningstar.com/index/IndexCharts.aspx?Country=USA&amp;Symbol=SPX"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hyperlink" Target="http://www.treasury.gov/resource-center/data-chart-center/interest-rates/pages/textview.aspx?data=yield" TargetMode="External"/><Relationship Id="rId16" Type="http://schemas.openxmlformats.org/officeDocument/2006/relationships/ctrlProp" Target="../ctrlProps/ctrlProp7.xml"/><Relationship Id="rId1" Type="http://schemas.openxmlformats.org/officeDocument/2006/relationships/hyperlink" Target="http://pages.stern.nyu.edu/~adamodar/New_Home_Page/datafile/Betas.html" TargetMode="External"/><Relationship Id="rId6" Type="http://schemas.openxmlformats.org/officeDocument/2006/relationships/hyperlink" Target="http://www.fool.com/taxes" TargetMode="External"/><Relationship Id="rId11" Type="http://schemas.openxmlformats.org/officeDocument/2006/relationships/ctrlProp" Target="../ctrlProps/ctrlProp2.xml"/><Relationship Id="rId5" Type="http://schemas.openxmlformats.org/officeDocument/2006/relationships/hyperlink" Target="http://www.naiglobal.com/docs/RealEstatePricing.pdf" TargetMode="External"/><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hyperlink" Target="http://pages.stern.nyu.edu/~adamodar/pdfiles/valn2ed/ch26.pdf" TargetMode="External"/><Relationship Id="rId9" Type="http://schemas.openxmlformats.org/officeDocument/2006/relationships/vmlDrawing" Target="../drawings/vmlDrawing1.vml"/><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allfinancialmatters.com/2007/01/19/how-to-calculate-the-expected-return-on-a-portfolio/" TargetMode="External"/><Relationship Id="rId1" Type="http://schemas.openxmlformats.org/officeDocument/2006/relationships/hyperlink" Target="http://www.investopedia.com/terms/e/expectedreturn.a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G251"/>
  <sheetViews>
    <sheetView showGridLines="0" tabSelected="1" zoomScale="70" zoomScaleNormal="70" workbookViewId="0">
      <selection activeCell="G251" sqref="G251"/>
    </sheetView>
  </sheetViews>
  <sheetFormatPr defaultColWidth="9.42578125" defaultRowHeight="16.5" x14ac:dyDescent="0.3"/>
  <cols>
    <col min="1" max="1" width="35.28515625" style="10" customWidth="1"/>
    <col min="2" max="2" width="23" style="10" customWidth="1"/>
    <col min="3" max="3" width="28.5703125" style="10" customWidth="1"/>
    <col min="4" max="4" width="23.28515625" style="10" customWidth="1"/>
    <col min="5" max="5" width="16.85546875" style="10" bestFit="1" customWidth="1"/>
    <col min="6" max="6" width="14.5703125" style="10" bestFit="1" customWidth="1"/>
    <col min="7" max="7" width="13.5703125" style="10" bestFit="1" customWidth="1"/>
    <col min="8" max="8" width="14.42578125" style="10" bestFit="1" customWidth="1"/>
    <col min="9" max="9" width="11" style="10" bestFit="1" customWidth="1"/>
    <col min="10" max="10" width="12.140625" style="10" customWidth="1"/>
    <col min="11" max="11" width="11" style="10" bestFit="1" customWidth="1"/>
    <col min="12" max="12" width="8.140625" style="10" customWidth="1"/>
    <col min="13" max="13" width="34.5703125" style="10" bestFit="1" customWidth="1"/>
    <col min="14" max="16" width="9.42578125" style="10"/>
    <col min="17" max="17" width="10" style="10" customWidth="1"/>
    <col min="18" max="256" width="9.42578125" style="10"/>
    <col min="257" max="257" width="38.85546875" style="10" customWidth="1"/>
    <col min="258" max="258" width="26" style="10" bestFit="1" customWidth="1"/>
    <col min="259" max="259" width="30" style="10" bestFit="1" customWidth="1"/>
    <col min="260" max="260" width="20.28515625" style="10" customWidth="1"/>
    <col min="261" max="263" width="11.5703125" style="10" bestFit="1" customWidth="1"/>
    <col min="264" max="265" width="11" style="10" bestFit="1" customWidth="1"/>
    <col min="266" max="266" width="12.140625" style="10" customWidth="1"/>
    <col min="267" max="267" width="11" style="10" bestFit="1" customWidth="1"/>
    <col min="268" max="268" width="8.140625" style="10" customWidth="1"/>
    <col min="269" max="269" width="34.5703125" style="10" bestFit="1" customWidth="1"/>
    <col min="270" max="272" width="9.42578125" style="10"/>
    <col min="273" max="273" width="10" style="10" customWidth="1"/>
    <col min="274" max="512" width="9.42578125" style="10"/>
    <col min="513" max="513" width="38.85546875" style="10" customWidth="1"/>
    <col min="514" max="514" width="26" style="10" bestFit="1" customWidth="1"/>
    <col min="515" max="515" width="30" style="10" bestFit="1" customWidth="1"/>
    <col min="516" max="516" width="20.28515625" style="10" customWidth="1"/>
    <col min="517" max="519" width="11.5703125" style="10" bestFit="1" customWidth="1"/>
    <col min="520" max="521" width="11" style="10" bestFit="1" customWidth="1"/>
    <col min="522" max="522" width="12.140625" style="10" customWidth="1"/>
    <col min="523" max="523" width="11" style="10" bestFit="1" customWidth="1"/>
    <col min="524" max="524" width="8.140625" style="10" customWidth="1"/>
    <col min="525" max="525" width="34.5703125" style="10" bestFit="1" customWidth="1"/>
    <col min="526" max="528" width="9.42578125" style="10"/>
    <col min="529" max="529" width="10" style="10" customWidth="1"/>
    <col min="530" max="768" width="9.42578125" style="10"/>
    <col min="769" max="769" width="38.85546875" style="10" customWidth="1"/>
    <col min="770" max="770" width="26" style="10" bestFit="1" customWidth="1"/>
    <col min="771" max="771" width="30" style="10" bestFit="1" customWidth="1"/>
    <col min="772" max="772" width="20.28515625" style="10" customWidth="1"/>
    <col min="773" max="775" width="11.5703125" style="10" bestFit="1" customWidth="1"/>
    <col min="776" max="777" width="11" style="10" bestFit="1" customWidth="1"/>
    <col min="778" max="778" width="12.140625" style="10" customWidth="1"/>
    <col min="779" max="779" width="11" style="10" bestFit="1" customWidth="1"/>
    <col min="780" max="780" width="8.140625" style="10" customWidth="1"/>
    <col min="781" max="781" width="34.5703125" style="10" bestFit="1" customWidth="1"/>
    <col min="782" max="784" width="9.42578125" style="10"/>
    <col min="785" max="785" width="10" style="10" customWidth="1"/>
    <col min="786" max="1024" width="9.42578125" style="10"/>
    <col min="1025" max="1025" width="38.85546875" style="10" customWidth="1"/>
    <col min="1026" max="1026" width="26" style="10" bestFit="1" customWidth="1"/>
    <col min="1027" max="1027" width="30" style="10" bestFit="1" customWidth="1"/>
    <col min="1028" max="1028" width="20.28515625" style="10" customWidth="1"/>
    <col min="1029" max="1031" width="11.5703125" style="10" bestFit="1" customWidth="1"/>
    <col min="1032" max="1033" width="11" style="10" bestFit="1" customWidth="1"/>
    <col min="1034" max="1034" width="12.140625" style="10" customWidth="1"/>
    <col min="1035" max="1035" width="11" style="10" bestFit="1" customWidth="1"/>
    <col min="1036" max="1036" width="8.140625" style="10" customWidth="1"/>
    <col min="1037" max="1037" width="34.5703125" style="10" bestFit="1" customWidth="1"/>
    <col min="1038" max="1040" width="9.42578125" style="10"/>
    <col min="1041" max="1041" width="10" style="10" customWidth="1"/>
    <col min="1042" max="1280" width="9.42578125" style="10"/>
    <col min="1281" max="1281" width="38.85546875" style="10" customWidth="1"/>
    <col min="1282" max="1282" width="26" style="10" bestFit="1" customWidth="1"/>
    <col min="1283" max="1283" width="30" style="10" bestFit="1" customWidth="1"/>
    <col min="1284" max="1284" width="20.28515625" style="10" customWidth="1"/>
    <col min="1285" max="1287" width="11.5703125" style="10" bestFit="1" customWidth="1"/>
    <col min="1288" max="1289" width="11" style="10" bestFit="1" customWidth="1"/>
    <col min="1290" max="1290" width="12.140625" style="10" customWidth="1"/>
    <col min="1291" max="1291" width="11" style="10" bestFit="1" customWidth="1"/>
    <col min="1292" max="1292" width="8.140625" style="10" customWidth="1"/>
    <col min="1293" max="1293" width="34.5703125" style="10" bestFit="1" customWidth="1"/>
    <col min="1294" max="1296" width="9.42578125" style="10"/>
    <col min="1297" max="1297" width="10" style="10" customWidth="1"/>
    <col min="1298" max="1536" width="9.42578125" style="10"/>
    <col min="1537" max="1537" width="38.85546875" style="10" customWidth="1"/>
    <col min="1538" max="1538" width="26" style="10" bestFit="1" customWidth="1"/>
    <col min="1539" max="1539" width="30" style="10" bestFit="1" customWidth="1"/>
    <col min="1540" max="1540" width="20.28515625" style="10" customWidth="1"/>
    <col min="1541" max="1543" width="11.5703125" style="10" bestFit="1" customWidth="1"/>
    <col min="1544" max="1545" width="11" style="10" bestFit="1" customWidth="1"/>
    <col min="1546" max="1546" width="12.140625" style="10" customWidth="1"/>
    <col min="1547" max="1547" width="11" style="10" bestFit="1" customWidth="1"/>
    <col min="1548" max="1548" width="8.140625" style="10" customWidth="1"/>
    <col min="1549" max="1549" width="34.5703125" style="10" bestFit="1" customWidth="1"/>
    <col min="1550" max="1552" width="9.42578125" style="10"/>
    <col min="1553" max="1553" width="10" style="10" customWidth="1"/>
    <col min="1554" max="1792" width="9.42578125" style="10"/>
    <col min="1793" max="1793" width="38.85546875" style="10" customWidth="1"/>
    <col min="1794" max="1794" width="26" style="10" bestFit="1" customWidth="1"/>
    <col min="1795" max="1795" width="30" style="10" bestFit="1" customWidth="1"/>
    <col min="1796" max="1796" width="20.28515625" style="10" customWidth="1"/>
    <col min="1797" max="1799" width="11.5703125" style="10" bestFit="1" customWidth="1"/>
    <col min="1800" max="1801" width="11" style="10" bestFit="1" customWidth="1"/>
    <col min="1802" max="1802" width="12.140625" style="10" customWidth="1"/>
    <col min="1803" max="1803" width="11" style="10" bestFit="1" customWidth="1"/>
    <col min="1804" max="1804" width="8.140625" style="10" customWidth="1"/>
    <col min="1805" max="1805" width="34.5703125" style="10" bestFit="1" customWidth="1"/>
    <col min="1806" max="1808" width="9.42578125" style="10"/>
    <col min="1809" max="1809" width="10" style="10" customWidth="1"/>
    <col min="1810" max="2048" width="9.42578125" style="10"/>
    <col min="2049" max="2049" width="38.85546875" style="10" customWidth="1"/>
    <col min="2050" max="2050" width="26" style="10" bestFit="1" customWidth="1"/>
    <col min="2051" max="2051" width="30" style="10" bestFit="1" customWidth="1"/>
    <col min="2052" max="2052" width="20.28515625" style="10" customWidth="1"/>
    <col min="2053" max="2055" width="11.5703125" style="10" bestFit="1" customWidth="1"/>
    <col min="2056" max="2057" width="11" style="10" bestFit="1" customWidth="1"/>
    <col min="2058" max="2058" width="12.140625" style="10" customWidth="1"/>
    <col min="2059" max="2059" width="11" style="10" bestFit="1" customWidth="1"/>
    <col min="2060" max="2060" width="8.140625" style="10" customWidth="1"/>
    <col min="2061" max="2061" width="34.5703125" style="10" bestFit="1" customWidth="1"/>
    <col min="2062" max="2064" width="9.42578125" style="10"/>
    <col min="2065" max="2065" width="10" style="10" customWidth="1"/>
    <col min="2066" max="2304" width="9.42578125" style="10"/>
    <col min="2305" max="2305" width="38.85546875" style="10" customWidth="1"/>
    <col min="2306" max="2306" width="26" style="10" bestFit="1" customWidth="1"/>
    <col min="2307" max="2307" width="30" style="10" bestFit="1" customWidth="1"/>
    <col min="2308" max="2308" width="20.28515625" style="10" customWidth="1"/>
    <col min="2309" max="2311" width="11.5703125" style="10" bestFit="1" customWidth="1"/>
    <col min="2312" max="2313" width="11" style="10" bestFit="1" customWidth="1"/>
    <col min="2314" max="2314" width="12.140625" style="10" customWidth="1"/>
    <col min="2315" max="2315" width="11" style="10" bestFit="1" customWidth="1"/>
    <col min="2316" max="2316" width="8.140625" style="10" customWidth="1"/>
    <col min="2317" max="2317" width="34.5703125" style="10" bestFit="1" customWidth="1"/>
    <col min="2318" max="2320" width="9.42578125" style="10"/>
    <col min="2321" max="2321" width="10" style="10" customWidth="1"/>
    <col min="2322" max="2560" width="9.42578125" style="10"/>
    <col min="2561" max="2561" width="38.85546875" style="10" customWidth="1"/>
    <col min="2562" max="2562" width="26" style="10" bestFit="1" customWidth="1"/>
    <col min="2563" max="2563" width="30" style="10" bestFit="1" customWidth="1"/>
    <col min="2564" max="2564" width="20.28515625" style="10" customWidth="1"/>
    <col min="2565" max="2567" width="11.5703125" style="10" bestFit="1" customWidth="1"/>
    <col min="2568" max="2569" width="11" style="10" bestFit="1" customWidth="1"/>
    <col min="2570" max="2570" width="12.140625" style="10" customWidth="1"/>
    <col min="2571" max="2571" width="11" style="10" bestFit="1" customWidth="1"/>
    <col min="2572" max="2572" width="8.140625" style="10" customWidth="1"/>
    <col min="2573" max="2573" width="34.5703125" style="10" bestFit="1" customWidth="1"/>
    <col min="2574" max="2576" width="9.42578125" style="10"/>
    <col min="2577" max="2577" width="10" style="10" customWidth="1"/>
    <col min="2578" max="2816" width="9.42578125" style="10"/>
    <col min="2817" max="2817" width="38.85546875" style="10" customWidth="1"/>
    <col min="2818" max="2818" width="26" style="10" bestFit="1" customWidth="1"/>
    <col min="2819" max="2819" width="30" style="10" bestFit="1" customWidth="1"/>
    <col min="2820" max="2820" width="20.28515625" style="10" customWidth="1"/>
    <col min="2821" max="2823" width="11.5703125" style="10" bestFit="1" customWidth="1"/>
    <col min="2824" max="2825" width="11" style="10" bestFit="1" customWidth="1"/>
    <col min="2826" max="2826" width="12.140625" style="10" customWidth="1"/>
    <col min="2827" max="2827" width="11" style="10" bestFit="1" customWidth="1"/>
    <col min="2828" max="2828" width="8.140625" style="10" customWidth="1"/>
    <col min="2829" max="2829" width="34.5703125" style="10" bestFit="1" customWidth="1"/>
    <col min="2830" max="2832" width="9.42578125" style="10"/>
    <col min="2833" max="2833" width="10" style="10" customWidth="1"/>
    <col min="2834" max="3072" width="9.42578125" style="10"/>
    <col min="3073" max="3073" width="38.85546875" style="10" customWidth="1"/>
    <col min="3074" max="3074" width="26" style="10" bestFit="1" customWidth="1"/>
    <col min="3075" max="3075" width="30" style="10" bestFit="1" customWidth="1"/>
    <col min="3076" max="3076" width="20.28515625" style="10" customWidth="1"/>
    <col min="3077" max="3079" width="11.5703125" style="10" bestFit="1" customWidth="1"/>
    <col min="3080" max="3081" width="11" style="10" bestFit="1" customWidth="1"/>
    <col min="3082" max="3082" width="12.140625" style="10" customWidth="1"/>
    <col min="3083" max="3083" width="11" style="10" bestFit="1" customWidth="1"/>
    <col min="3084" max="3084" width="8.140625" style="10" customWidth="1"/>
    <col min="3085" max="3085" width="34.5703125" style="10" bestFit="1" customWidth="1"/>
    <col min="3086" max="3088" width="9.42578125" style="10"/>
    <col min="3089" max="3089" width="10" style="10" customWidth="1"/>
    <col min="3090" max="3328" width="9.42578125" style="10"/>
    <col min="3329" max="3329" width="38.85546875" style="10" customWidth="1"/>
    <col min="3330" max="3330" width="26" style="10" bestFit="1" customWidth="1"/>
    <col min="3331" max="3331" width="30" style="10" bestFit="1" customWidth="1"/>
    <col min="3332" max="3332" width="20.28515625" style="10" customWidth="1"/>
    <col min="3333" max="3335" width="11.5703125" style="10" bestFit="1" customWidth="1"/>
    <col min="3336" max="3337" width="11" style="10" bestFit="1" customWidth="1"/>
    <col min="3338" max="3338" width="12.140625" style="10" customWidth="1"/>
    <col min="3339" max="3339" width="11" style="10" bestFit="1" customWidth="1"/>
    <col min="3340" max="3340" width="8.140625" style="10" customWidth="1"/>
    <col min="3341" max="3341" width="34.5703125" style="10" bestFit="1" customWidth="1"/>
    <col min="3342" max="3344" width="9.42578125" style="10"/>
    <col min="3345" max="3345" width="10" style="10" customWidth="1"/>
    <col min="3346" max="3584" width="9.42578125" style="10"/>
    <col min="3585" max="3585" width="38.85546875" style="10" customWidth="1"/>
    <col min="3586" max="3586" width="26" style="10" bestFit="1" customWidth="1"/>
    <col min="3587" max="3587" width="30" style="10" bestFit="1" customWidth="1"/>
    <col min="3588" max="3588" width="20.28515625" style="10" customWidth="1"/>
    <col min="3589" max="3591" width="11.5703125" style="10" bestFit="1" customWidth="1"/>
    <col min="3592" max="3593" width="11" style="10" bestFit="1" customWidth="1"/>
    <col min="3594" max="3594" width="12.140625" style="10" customWidth="1"/>
    <col min="3595" max="3595" width="11" style="10" bestFit="1" customWidth="1"/>
    <col min="3596" max="3596" width="8.140625" style="10" customWidth="1"/>
    <col min="3597" max="3597" width="34.5703125" style="10" bestFit="1" customWidth="1"/>
    <col min="3598" max="3600" width="9.42578125" style="10"/>
    <col min="3601" max="3601" width="10" style="10" customWidth="1"/>
    <col min="3602" max="3840" width="9.42578125" style="10"/>
    <col min="3841" max="3841" width="38.85546875" style="10" customWidth="1"/>
    <col min="3842" max="3842" width="26" style="10" bestFit="1" customWidth="1"/>
    <col min="3843" max="3843" width="30" style="10" bestFit="1" customWidth="1"/>
    <col min="3844" max="3844" width="20.28515625" style="10" customWidth="1"/>
    <col min="3845" max="3847" width="11.5703125" style="10" bestFit="1" customWidth="1"/>
    <col min="3848" max="3849" width="11" style="10" bestFit="1" customWidth="1"/>
    <col min="3850" max="3850" width="12.140625" style="10" customWidth="1"/>
    <col min="3851" max="3851" width="11" style="10" bestFit="1" customWidth="1"/>
    <col min="3852" max="3852" width="8.140625" style="10" customWidth="1"/>
    <col min="3853" max="3853" width="34.5703125" style="10" bestFit="1" customWidth="1"/>
    <col min="3854" max="3856" width="9.42578125" style="10"/>
    <col min="3857" max="3857" width="10" style="10" customWidth="1"/>
    <col min="3858" max="4096" width="9.42578125" style="10"/>
    <col min="4097" max="4097" width="38.85546875" style="10" customWidth="1"/>
    <col min="4098" max="4098" width="26" style="10" bestFit="1" customWidth="1"/>
    <col min="4099" max="4099" width="30" style="10" bestFit="1" customWidth="1"/>
    <col min="4100" max="4100" width="20.28515625" style="10" customWidth="1"/>
    <col min="4101" max="4103" width="11.5703125" style="10" bestFit="1" customWidth="1"/>
    <col min="4104" max="4105" width="11" style="10" bestFit="1" customWidth="1"/>
    <col min="4106" max="4106" width="12.140625" style="10" customWidth="1"/>
    <col min="4107" max="4107" width="11" style="10" bestFit="1" customWidth="1"/>
    <col min="4108" max="4108" width="8.140625" style="10" customWidth="1"/>
    <col min="4109" max="4109" width="34.5703125" style="10" bestFit="1" customWidth="1"/>
    <col min="4110" max="4112" width="9.42578125" style="10"/>
    <col min="4113" max="4113" width="10" style="10" customWidth="1"/>
    <col min="4114" max="4352" width="9.42578125" style="10"/>
    <col min="4353" max="4353" width="38.85546875" style="10" customWidth="1"/>
    <col min="4354" max="4354" width="26" style="10" bestFit="1" customWidth="1"/>
    <col min="4355" max="4355" width="30" style="10" bestFit="1" customWidth="1"/>
    <col min="4356" max="4356" width="20.28515625" style="10" customWidth="1"/>
    <col min="4357" max="4359" width="11.5703125" style="10" bestFit="1" customWidth="1"/>
    <col min="4360" max="4361" width="11" style="10" bestFit="1" customWidth="1"/>
    <col min="4362" max="4362" width="12.140625" style="10" customWidth="1"/>
    <col min="4363" max="4363" width="11" style="10" bestFit="1" customWidth="1"/>
    <col min="4364" max="4364" width="8.140625" style="10" customWidth="1"/>
    <col min="4365" max="4365" width="34.5703125" style="10" bestFit="1" customWidth="1"/>
    <col min="4366" max="4368" width="9.42578125" style="10"/>
    <col min="4369" max="4369" width="10" style="10" customWidth="1"/>
    <col min="4370" max="4608" width="9.42578125" style="10"/>
    <col min="4609" max="4609" width="38.85546875" style="10" customWidth="1"/>
    <col min="4610" max="4610" width="26" style="10" bestFit="1" customWidth="1"/>
    <col min="4611" max="4611" width="30" style="10" bestFit="1" customWidth="1"/>
    <col min="4612" max="4612" width="20.28515625" style="10" customWidth="1"/>
    <col min="4613" max="4615" width="11.5703125" style="10" bestFit="1" customWidth="1"/>
    <col min="4616" max="4617" width="11" style="10" bestFit="1" customWidth="1"/>
    <col min="4618" max="4618" width="12.140625" style="10" customWidth="1"/>
    <col min="4619" max="4619" width="11" style="10" bestFit="1" customWidth="1"/>
    <col min="4620" max="4620" width="8.140625" style="10" customWidth="1"/>
    <col min="4621" max="4621" width="34.5703125" style="10" bestFit="1" customWidth="1"/>
    <col min="4622" max="4624" width="9.42578125" style="10"/>
    <col min="4625" max="4625" width="10" style="10" customWidth="1"/>
    <col min="4626" max="4864" width="9.42578125" style="10"/>
    <col min="4865" max="4865" width="38.85546875" style="10" customWidth="1"/>
    <col min="4866" max="4866" width="26" style="10" bestFit="1" customWidth="1"/>
    <col min="4867" max="4867" width="30" style="10" bestFit="1" customWidth="1"/>
    <col min="4868" max="4868" width="20.28515625" style="10" customWidth="1"/>
    <col min="4869" max="4871" width="11.5703125" style="10" bestFit="1" customWidth="1"/>
    <col min="4872" max="4873" width="11" style="10" bestFit="1" customWidth="1"/>
    <col min="4874" max="4874" width="12.140625" style="10" customWidth="1"/>
    <col min="4875" max="4875" width="11" style="10" bestFit="1" customWidth="1"/>
    <col min="4876" max="4876" width="8.140625" style="10" customWidth="1"/>
    <col min="4877" max="4877" width="34.5703125" style="10" bestFit="1" customWidth="1"/>
    <col min="4878" max="4880" width="9.42578125" style="10"/>
    <col min="4881" max="4881" width="10" style="10" customWidth="1"/>
    <col min="4882" max="5120" width="9.42578125" style="10"/>
    <col min="5121" max="5121" width="38.85546875" style="10" customWidth="1"/>
    <col min="5122" max="5122" width="26" style="10" bestFit="1" customWidth="1"/>
    <col min="5123" max="5123" width="30" style="10" bestFit="1" customWidth="1"/>
    <col min="5124" max="5124" width="20.28515625" style="10" customWidth="1"/>
    <col min="5125" max="5127" width="11.5703125" style="10" bestFit="1" customWidth="1"/>
    <col min="5128" max="5129" width="11" style="10" bestFit="1" customWidth="1"/>
    <col min="5130" max="5130" width="12.140625" style="10" customWidth="1"/>
    <col min="5131" max="5131" width="11" style="10" bestFit="1" customWidth="1"/>
    <col min="5132" max="5132" width="8.140625" style="10" customWidth="1"/>
    <col min="5133" max="5133" width="34.5703125" style="10" bestFit="1" customWidth="1"/>
    <col min="5134" max="5136" width="9.42578125" style="10"/>
    <col min="5137" max="5137" width="10" style="10" customWidth="1"/>
    <col min="5138" max="5376" width="9.42578125" style="10"/>
    <col min="5377" max="5377" width="38.85546875" style="10" customWidth="1"/>
    <col min="5378" max="5378" width="26" style="10" bestFit="1" customWidth="1"/>
    <col min="5379" max="5379" width="30" style="10" bestFit="1" customWidth="1"/>
    <col min="5380" max="5380" width="20.28515625" style="10" customWidth="1"/>
    <col min="5381" max="5383" width="11.5703125" style="10" bestFit="1" customWidth="1"/>
    <col min="5384" max="5385" width="11" style="10" bestFit="1" customWidth="1"/>
    <col min="5386" max="5386" width="12.140625" style="10" customWidth="1"/>
    <col min="5387" max="5387" width="11" style="10" bestFit="1" customWidth="1"/>
    <col min="5388" max="5388" width="8.140625" style="10" customWidth="1"/>
    <col min="5389" max="5389" width="34.5703125" style="10" bestFit="1" customWidth="1"/>
    <col min="5390" max="5392" width="9.42578125" style="10"/>
    <col min="5393" max="5393" width="10" style="10" customWidth="1"/>
    <col min="5394" max="5632" width="9.42578125" style="10"/>
    <col min="5633" max="5633" width="38.85546875" style="10" customWidth="1"/>
    <col min="5634" max="5634" width="26" style="10" bestFit="1" customWidth="1"/>
    <col min="5635" max="5635" width="30" style="10" bestFit="1" customWidth="1"/>
    <col min="5636" max="5636" width="20.28515625" style="10" customWidth="1"/>
    <col min="5637" max="5639" width="11.5703125" style="10" bestFit="1" customWidth="1"/>
    <col min="5640" max="5641" width="11" style="10" bestFit="1" customWidth="1"/>
    <col min="5642" max="5642" width="12.140625" style="10" customWidth="1"/>
    <col min="5643" max="5643" width="11" style="10" bestFit="1" customWidth="1"/>
    <col min="5644" max="5644" width="8.140625" style="10" customWidth="1"/>
    <col min="5645" max="5645" width="34.5703125" style="10" bestFit="1" customWidth="1"/>
    <col min="5646" max="5648" width="9.42578125" style="10"/>
    <col min="5649" max="5649" width="10" style="10" customWidth="1"/>
    <col min="5650" max="5888" width="9.42578125" style="10"/>
    <col min="5889" max="5889" width="38.85546875" style="10" customWidth="1"/>
    <col min="5890" max="5890" width="26" style="10" bestFit="1" customWidth="1"/>
    <col min="5891" max="5891" width="30" style="10" bestFit="1" customWidth="1"/>
    <col min="5892" max="5892" width="20.28515625" style="10" customWidth="1"/>
    <col min="5893" max="5895" width="11.5703125" style="10" bestFit="1" customWidth="1"/>
    <col min="5896" max="5897" width="11" style="10" bestFit="1" customWidth="1"/>
    <col min="5898" max="5898" width="12.140625" style="10" customWidth="1"/>
    <col min="5899" max="5899" width="11" style="10" bestFit="1" customWidth="1"/>
    <col min="5900" max="5900" width="8.140625" style="10" customWidth="1"/>
    <col min="5901" max="5901" width="34.5703125" style="10" bestFit="1" customWidth="1"/>
    <col min="5902" max="5904" width="9.42578125" style="10"/>
    <col min="5905" max="5905" width="10" style="10" customWidth="1"/>
    <col min="5906" max="6144" width="9.42578125" style="10"/>
    <col min="6145" max="6145" width="38.85546875" style="10" customWidth="1"/>
    <col min="6146" max="6146" width="26" style="10" bestFit="1" customWidth="1"/>
    <col min="6147" max="6147" width="30" style="10" bestFit="1" customWidth="1"/>
    <col min="6148" max="6148" width="20.28515625" style="10" customWidth="1"/>
    <col min="6149" max="6151" width="11.5703125" style="10" bestFit="1" customWidth="1"/>
    <col min="6152" max="6153" width="11" style="10" bestFit="1" customWidth="1"/>
    <col min="6154" max="6154" width="12.140625" style="10" customWidth="1"/>
    <col min="6155" max="6155" width="11" style="10" bestFit="1" customWidth="1"/>
    <col min="6156" max="6156" width="8.140625" style="10" customWidth="1"/>
    <col min="6157" max="6157" width="34.5703125" style="10" bestFit="1" customWidth="1"/>
    <col min="6158" max="6160" width="9.42578125" style="10"/>
    <col min="6161" max="6161" width="10" style="10" customWidth="1"/>
    <col min="6162" max="6400" width="9.42578125" style="10"/>
    <col min="6401" max="6401" width="38.85546875" style="10" customWidth="1"/>
    <col min="6402" max="6402" width="26" style="10" bestFit="1" customWidth="1"/>
    <col min="6403" max="6403" width="30" style="10" bestFit="1" customWidth="1"/>
    <col min="6404" max="6404" width="20.28515625" style="10" customWidth="1"/>
    <col min="6405" max="6407" width="11.5703125" style="10" bestFit="1" customWidth="1"/>
    <col min="6408" max="6409" width="11" style="10" bestFit="1" customWidth="1"/>
    <col min="6410" max="6410" width="12.140625" style="10" customWidth="1"/>
    <col min="6411" max="6411" width="11" style="10" bestFit="1" customWidth="1"/>
    <col min="6412" max="6412" width="8.140625" style="10" customWidth="1"/>
    <col min="6413" max="6413" width="34.5703125" style="10" bestFit="1" customWidth="1"/>
    <col min="6414" max="6416" width="9.42578125" style="10"/>
    <col min="6417" max="6417" width="10" style="10" customWidth="1"/>
    <col min="6418" max="6656" width="9.42578125" style="10"/>
    <col min="6657" max="6657" width="38.85546875" style="10" customWidth="1"/>
    <col min="6658" max="6658" width="26" style="10" bestFit="1" customWidth="1"/>
    <col min="6659" max="6659" width="30" style="10" bestFit="1" customWidth="1"/>
    <col min="6660" max="6660" width="20.28515625" style="10" customWidth="1"/>
    <col min="6661" max="6663" width="11.5703125" style="10" bestFit="1" customWidth="1"/>
    <col min="6664" max="6665" width="11" style="10" bestFit="1" customWidth="1"/>
    <col min="6666" max="6666" width="12.140625" style="10" customWidth="1"/>
    <col min="6667" max="6667" width="11" style="10" bestFit="1" customWidth="1"/>
    <col min="6668" max="6668" width="8.140625" style="10" customWidth="1"/>
    <col min="6669" max="6669" width="34.5703125" style="10" bestFit="1" customWidth="1"/>
    <col min="6670" max="6672" width="9.42578125" style="10"/>
    <col min="6673" max="6673" width="10" style="10" customWidth="1"/>
    <col min="6674" max="6912" width="9.42578125" style="10"/>
    <col min="6913" max="6913" width="38.85546875" style="10" customWidth="1"/>
    <col min="6914" max="6914" width="26" style="10" bestFit="1" customWidth="1"/>
    <col min="6915" max="6915" width="30" style="10" bestFit="1" customWidth="1"/>
    <col min="6916" max="6916" width="20.28515625" style="10" customWidth="1"/>
    <col min="6917" max="6919" width="11.5703125" style="10" bestFit="1" customWidth="1"/>
    <col min="6920" max="6921" width="11" style="10" bestFit="1" customWidth="1"/>
    <col min="6922" max="6922" width="12.140625" style="10" customWidth="1"/>
    <col min="6923" max="6923" width="11" style="10" bestFit="1" customWidth="1"/>
    <col min="6924" max="6924" width="8.140625" style="10" customWidth="1"/>
    <col min="6925" max="6925" width="34.5703125" style="10" bestFit="1" customWidth="1"/>
    <col min="6926" max="6928" width="9.42578125" style="10"/>
    <col min="6929" max="6929" width="10" style="10" customWidth="1"/>
    <col min="6930" max="7168" width="9.42578125" style="10"/>
    <col min="7169" max="7169" width="38.85546875" style="10" customWidth="1"/>
    <col min="7170" max="7170" width="26" style="10" bestFit="1" customWidth="1"/>
    <col min="7171" max="7171" width="30" style="10" bestFit="1" customWidth="1"/>
    <col min="7172" max="7172" width="20.28515625" style="10" customWidth="1"/>
    <col min="7173" max="7175" width="11.5703125" style="10" bestFit="1" customWidth="1"/>
    <col min="7176" max="7177" width="11" style="10" bestFit="1" customWidth="1"/>
    <col min="7178" max="7178" width="12.140625" style="10" customWidth="1"/>
    <col min="7179" max="7179" width="11" style="10" bestFit="1" customWidth="1"/>
    <col min="7180" max="7180" width="8.140625" style="10" customWidth="1"/>
    <col min="7181" max="7181" width="34.5703125" style="10" bestFit="1" customWidth="1"/>
    <col min="7182" max="7184" width="9.42578125" style="10"/>
    <col min="7185" max="7185" width="10" style="10" customWidth="1"/>
    <col min="7186" max="7424" width="9.42578125" style="10"/>
    <col min="7425" max="7425" width="38.85546875" style="10" customWidth="1"/>
    <col min="7426" max="7426" width="26" style="10" bestFit="1" customWidth="1"/>
    <col min="7427" max="7427" width="30" style="10" bestFit="1" customWidth="1"/>
    <col min="7428" max="7428" width="20.28515625" style="10" customWidth="1"/>
    <col min="7429" max="7431" width="11.5703125" style="10" bestFit="1" customWidth="1"/>
    <col min="7432" max="7433" width="11" style="10" bestFit="1" customWidth="1"/>
    <col min="7434" max="7434" width="12.140625" style="10" customWidth="1"/>
    <col min="7435" max="7435" width="11" style="10" bestFit="1" customWidth="1"/>
    <col min="7436" max="7436" width="8.140625" style="10" customWidth="1"/>
    <col min="7437" max="7437" width="34.5703125" style="10" bestFit="1" customWidth="1"/>
    <col min="7438" max="7440" width="9.42578125" style="10"/>
    <col min="7441" max="7441" width="10" style="10" customWidth="1"/>
    <col min="7442" max="7680" width="9.42578125" style="10"/>
    <col min="7681" max="7681" width="38.85546875" style="10" customWidth="1"/>
    <col min="7682" max="7682" width="26" style="10" bestFit="1" customWidth="1"/>
    <col min="7683" max="7683" width="30" style="10" bestFit="1" customWidth="1"/>
    <col min="7684" max="7684" width="20.28515625" style="10" customWidth="1"/>
    <col min="7685" max="7687" width="11.5703125" style="10" bestFit="1" customWidth="1"/>
    <col min="7688" max="7689" width="11" style="10" bestFit="1" customWidth="1"/>
    <col min="7690" max="7690" width="12.140625" style="10" customWidth="1"/>
    <col min="7691" max="7691" width="11" style="10" bestFit="1" customWidth="1"/>
    <col min="7692" max="7692" width="8.140625" style="10" customWidth="1"/>
    <col min="7693" max="7693" width="34.5703125" style="10" bestFit="1" customWidth="1"/>
    <col min="7694" max="7696" width="9.42578125" style="10"/>
    <col min="7697" max="7697" width="10" style="10" customWidth="1"/>
    <col min="7698" max="7936" width="9.42578125" style="10"/>
    <col min="7937" max="7937" width="38.85546875" style="10" customWidth="1"/>
    <col min="7938" max="7938" width="26" style="10" bestFit="1" customWidth="1"/>
    <col min="7939" max="7939" width="30" style="10" bestFit="1" customWidth="1"/>
    <col min="7940" max="7940" width="20.28515625" style="10" customWidth="1"/>
    <col min="7941" max="7943" width="11.5703125" style="10" bestFit="1" customWidth="1"/>
    <col min="7944" max="7945" width="11" style="10" bestFit="1" customWidth="1"/>
    <col min="7946" max="7946" width="12.140625" style="10" customWidth="1"/>
    <col min="7947" max="7947" width="11" style="10" bestFit="1" customWidth="1"/>
    <col min="7948" max="7948" width="8.140625" style="10" customWidth="1"/>
    <col min="7949" max="7949" width="34.5703125" style="10" bestFit="1" customWidth="1"/>
    <col min="7950" max="7952" width="9.42578125" style="10"/>
    <col min="7953" max="7953" width="10" style="10" customWidth="1"/>
    <col min="7954" max="8192" width="9.42578125" style="10"/>
    <col min="8193" max="8193" width="38.85546875" style="10" customWidth="1"/>
    <col min="8194" max="8194" width="26" style="10" bestFit="1" customWidth="1"/>
    <col min="8195" max="8195" width="30" style="10" bestFit="1" customWidth="1"/>
    <col min="8196" max="8196" width="20.28515625" style="10" customWidth="1"/>
    <col min="8197" max="8199" width="11.5703125" style="10" bestFit="1" customWidth="1"/>
    <col min="8200" max="8201" width="11" style="10" bestFit="1" customWidth="1"/>
    <col min="8202" max="8202" width="12.140625" style="10" customWidth="1"/>
    <col min="8203" max="8203" width="11" style="10" bestFit="1" customWidth="1"/>
    <col min="8204" max="8204" width="8.140625" style="10" customWidth="1"/>
    <col min="8205" max="8205" width="34.5703125" style="10" bestFit="1" customWidth="1"/>
    <col min="8206" max="8208" width="9.42578125" style="10"/>
    <col min="8209" max="8209" width="10" style="10" customWidth="1"/>
    <col min="8210" max="8448" width="9.42578125" style="10"/>
    <col min="8449" max="8449" width="38.85546875" style="10" customWidth="1"/>
    <col min="8450" max="8450" width="26" style="10" bestFit="1" customWidth="1"/>
    <col min="8451" max="8451" width="30" style="10" bestFit="1" customWidth="1"/>
    <col min="8452" max="8452" width="20.28515625" style="10" customWidth="1"/>
    <col min="8453" max="8455" width="11.5703125" style="10" bestFit="1" customWidth="1"/>
    <col min="8456" max="8457" width="11" style="10" bestFit="1" customWidth="1"/>
    <col min="8458" max="8458" width="12.140625" style="10" customWidth="1"/>
    <col min="8459" max="8459" width="11" style="10" bestFit="1" customWidth="1"/>
    <col min="8460" max="8460" width="8.140625" style="10" customWidth="1"/>
    <col min="8461" max="8461" width="34.5703125" style="10" bestFit="1" customWidth="1"/>
    <col min="8462" max="8464" width="9.42578125" style="10"/>
    <col min="8465" max="8465" width="10" style="10" customWidth="1"/>
    <col min="8466" max="8704" width="9.42578125" style="10"/>
    <col min="8705" max="8705" width="38.85546875" style="10" customWidth="1"/>
    <col min="8706" max="8706" width="26" style="10" bestFit="1" customWidth="1"/>
    <col min="8707" max="8707" width="30" style="10" bestFit="1" customWidth="1"/>
    <col min="8708" max="8708" width="20.28515625" style="10" customWidth="1"/>
    <col min="8709" max="8711" width="11.5703125" style="10" bestFit="1" customWidth="1"/>
    <col min="8712" max="8713" width="11" style="10" bestFit="1" customWidth="1"/>
    <col min="8714" max="8714" width="12.140625" style="10" customWidth="1"/>
    <col min="8715" max="8715" width="11" style="10" bestFit="1" customWidth="1"/>
    <col min="8716" max="8716" width="8.140625" style="10" customWidth="1"/>
    <col min="8717" max="8717" width="34.5703125" style="10" bestFit="1" customWidth="1"/>
    <col min="8718" max="8720" width="9.42578125" style="10"/>
    <col min="8721" max="8721" width="10" style="10" customWidth="1"/>
    <col min="8722" max="8960" width="9.42578125" style="10"/>
    <col min="8961" max="8961" width="38.85546875" style="10" customWidth="1"/>
    <col min="8962" max="8962" width="26" style="10" bestFit="1" customWidth="1"/>
    <col min="8963" max="8963" width="30" style="10" bestFit="1" customWidth="1"/>
    <col min="8964" max="8964" width="20.28515625" style="10" customWidth="1"/>
    <col min="8965" max="8967" width="11.5703125" style="10" bestFit="1" customWidth="1"/>
    <col min="8968" max="8969" width="11" style="10" bestFit="1" customWidth="1"/>
    <col min="8970" max="8970" width="12.140625" style="10" customWidth="1"/>
    <col min="8971" max="8971" width="11" style="10" bestFit="1" customWidth="1"/>
    <col min="8972" max="8972" width="8.140625" style="10" customWidth="1"/>
    <col min="8973" max="8973" width="34.5703125" style="10" bestFit="1" customWidth="1"/>
    <col min="8974" max="8976" width="9.42578125" style="10"/>
    <col min="8977" max="8977" width="10" style="10" customWidth="1"/>
    <col min="8978" max="9216" width="9.42578125" style="10"/>
    <col min="9217" max="9217" width="38.85546875" style="10" customWidth="1"/>
    <col min="9218" max="9218" width="26" style="10" bestFit="1" customWidth="1"/>
    <col min="9219" max="9219" width="30" style="10" bestFit="1" customWidth="1"/>
    <col min="9220" max="9220" width="20.28515625" style="10" customWidth="1"/>
    <col min="9221" max="9223" width="11.5703125" style="10" bestFit="1" customWidth="1"/>
    <col min="9224" max="9225" width="11" style="10" bestFit="1" customWidth="1"/>
    <col min="9226" max="9226" width="12.140625" style="10" customWidth="1"/>
    <col min="9227" max="9227" width="11" style="10" bestFit="1" customWidth="1"/>
    <col min="9228" max="9228" width="8.140625" style="10" customWidth="1"/>
    <col min="9229" max="9229" width="34.5703125" style="10" bestFit="1" customWidth="1"/>
    <col min="9230" max="9232" width="9.42578125" style="10"/>
    <col min="9233" max="9233" width="10" style="10" customWidth="1"/>
    <col min="9234" max="9472" width="9.42578125" style="10"/>
    <col min="9473" max="9473" width="38.85546875" style="10" customWidth="1"/>
    <col min="9474" max="9474" width="26" style="10" bestFit="1" customWidth="1"/>
    <col min="9475" max="9475" width="30" style="10" bestFit="1" customWidth="1"/>
    <col min="9476" max="9476" width="20.28515625" style="10" customWidth="1"/>
    <col min="9477" max="9479" width="11.5703125" style="10" bestFit="1" customWidth="1"/>
    <col min="9480" max="9481" width="11" style="10" bestFit="1" customWidth="1"/>
    <col min="9482" max="9482" width="12.140625" style="10" customWidth="1"/>
    <col min="9483" max="9483" width="11" style="10" bestFit="1" customWidth="1"/>
    <col min="9484" max="9484" width="8.140625" style="10" customWidth="1"/>
    <col min="9485" max="9485" width="34.5703125" style="10" bestFit="1" customWidth="1"/>
    <col min="9486" max="9488" width="9.42578125" style="10"/>
    <col min="9489" max="9489" width="10" style="10" customWidth="1"/>
    <col min="9490" max="9728" width="9.42578125" style="10"/>
    <col min="9729" max="9729" width="38.85546875" style="10" customWidth="1"/>
    <col min="9730" max="9730" width="26" style="10" bestFit="1" customWidth="1"/>
    <col min="9731" max="9731" width="30" style="10" bestFit="1" customWidth="1"/>
    <col min="9732" max="9732" width="20.28515625" style="10" customWidth="1"/>
    <col min="9733" max="9735" width="11.5703125" style="10" bestFit="1" customWidth="1"/>
    <col min="9736" max="9737" width="11" style="10" bestFit="1" customWidth="1"/>
    <col min="9738" max="9738" width="12.140625" style="10" customWidth="1"/>
    <col min="9739" max="9739" width="11" style="10" bestFit="1" customWidth="1"/>
    <col min="9740" max="9740" width="8.140625" style="10" customWidth="1"/>
    <col min="9741" max="9741" width="34.5703125" style="10" bestFit="1" customWidth="1"/>
    <col min="9742" max="9744" width="9.42578125" style="10"/>
    <col min="9745" max="9745" width="10" style="10" customWidth="1"/>
    <col min="9746" max="9984" width="9.42578125" style="10"/>
    <col min="9985" max="9985" width="38.85546875" style="10" customWidth="1"/>
    <col min="9986" max="9986" width="26" style="10" bestFit="1" customWidth="1"/>
    <col min="9987" max="9987" width="30" style="10" bestFit="1" customWidth="1"/>
    <col min="9988" max="9988" width="20.28515625" style="10" customWidth="1"/>
    <col min="9989" max="9991" width="11.5703125" style="10" bestFit="1" customWidth="1"/>
    <col min="9992" max="9993" width="11" style="10" bestFit="1" customWidth="1"/>
    <col min="9994" max="9994" width="12.140625" style="10" customWidth="1"/>
    <col min="9995" max="9995" width="11" style="10" bestFit="1" customWidth="1"/>
    <col min="9996" max="9996" width="8.140625" style="10" customWidth="1"/>
    <col min="9997" max="9997" width="34.5703125" style="10" bestFit="1" customWidth="1"/>
    <col min="9998" max="10000" width="9.42578125" style="10"/>
    <col min="10001" max="10001" width="10" style="10" customWidth="1"/>
    <col min="10002" max="10240" width="9.42578125" style="10"/>
    <col min="10241" max="10241" width="38.85546875" style="10" customWidth="1"/>
    <col min="10242" max="10242" width="26" style="10" bestFit="1" customWidth="1"/>
    <col min="10243" max="10243" width="30" style="10" bestFit="1" customWidth="1"/>
    <col min="10244" max="10244" width="20.28515625" style="10" customWidth="1"/>
    <col min="10245" max="10247" width="11.5703125" style="10" bestFit="1" customWidth="1"/>
    <col min="10248" max="10249" width="11" style="10" bestFit="1" customWidth="1"/>
    <col min="10250" max="10250" width="12.140625" style="10" customWidth="1"/>
    <col min="10251" max="10251" width="11" style="10" bestFit="1" customWidth="1"/>
    <col min="10252" max="10252" width="8.140625" style="10" customWidth="1"/>
    <col min="10253" max="10253" width="34.5703125" style="10" bestFit="1" customWidth="1"/>
    <col min="10254" max="10256" width="9.42578125" style="10"/>
    <col min="10257" max="10257" width="10" style="10" customWidth="1"/>
    <col min="10258" max="10496" width="9.42578125" style="10"/>
    <col min="10497" max="10497" width="38.85546875" style="10" customWidth="1"/>
    <col min="10498" max="10498" width="26" style="10" bestFit="1" customWidth="1"/>
    <col min="10499" max="10499" width="30" style="10" bestFit="1" customWidth="1"/>
    <col min="10500" max="10500" width="20.28515625" style="10" customWidth="1"/>
    <col min="10501" max="10503" width="11.5703125" style="10" bestFit="1" customWidth="1"/>
    <col min="10504" max="10505" width="11" style="10" bestFit="1" customWidth="1"/>
    <col min="10506" max="10506" width="12.140625" style="10" customWidth="1"/>
    <col min="10507" max="10507" width="11" style="10" bestFit="1" customWidth="1"/>
    <col min="10508" max="10508" width="8.140625" style="10" customWidth="1"/>
    <col min="10509" max="10509" width="34.5703125" style="10" bestFit="1" customWidth="1"/>
    <col min="10510" max="10512" width="9.42578125" style="10"/>
    <col min="10513" max="10513" width="10" style="10" customWidth="1"/>
    <col min="10514" max="10752" width="9.42578125" style="10"/>
    <col min="10753" max="10753" width="38.85546875" style="10" customWidth="1"/>
    <col min="10754" max="10754" width="26" style="10" bestFit="1" customWidth="1"/>
    <col min="10755" max="10755" width="30" style="10" bestFit="1" customWidth="1"/>
    <col min="10756" max="10756" width="20.28515625" style="10" customWidth="1"/>
    <col min="10757" max="10759" width="11.5703125" style="10" bestFit="1" customWidth="1"/>
    <col min="10760" max="10761" width="11" style="10" bestFit="1" customWidth="1"/>
    <col min="10762" max="10762" width="12.140625" style="10" customWidth="1"/>
    <col min="10763" max="10763" width="11" style="10" bestFit="1" customWidth="1"/>
    <col min="10764" max="10764" width="8.140625" style="10" customWidth="1"/>
    <col min="10765" max="10765" width="34.5703125" style="10" bestFit="1" customWidth="1"/>
    <col min="10766" max="10768" width="9.42578125" style="10"/>
    <col min="10769" max="10769" width="10" style="10" customWidth="1"/>
    <col min="10770" max="11008" width="9.42578125" style="10"/>
    <col min="11009" max="11009" width="38.85546875" style="10" customWidth="1"/>
    <col min="11010" max="11010" width="26" style="10" bestFit="1" customWidth="1"/>
    <col min="11011" max="11011" width="30" style="10" bestFit="1" customWidth="1"/>
    <col min="11012" max="11012" width="20.28515625" style="10" customWidth="1"/>
    <col min="11013" max="11015" width="11.5703125" style="10" bestFit="1" customWidth="1"/>
    <col min="11016" max="11017" width="11" style="10" bestFit="1" customWidth="1"/>
    <col min="11018" max="11018" width="12.140625" style="10" customWidth="1"/>
    <col min="11019" max="11019" width="11" style="10" bestFit="1" customWidth="1"/>
    <col min="11020" max="11020" width="8.140625" style="10" customWidth="1"/>
    <col min="11021" max="11021" width="34.5703125" style="10" bestFit="1" customWidth="1"/>
    <col min="11022" max="11024" width="9.42578125" style="10"/>
    <col min="11025" max="11025" width="10" style="10" customWidth="1"/>
    <col min="11026" max="11264" width="9.42578125" style="10"/>
    <col min="11265" max="11265" width="38.85546875" style="10" customWidth="1"/>
    <col min="11266" max="11266" width="26" style="10" bestFit="1" customWidth="1"/>
    <col min="11267" max="11267" width="30" style="10" bestFit="1" customWidth="1"/>
    <col min="11268" max="11268" width="20.28515625" style="10" customWidth="1"/>
    <col min="11269" max="11271" width="11.5703125" style="10" bestFit="1" customWidth="1"/>
    <col min="11272" max="11273" width="11" style="10" bestFit="1" customWidth="1"/>
    <col min="11274" max="11274" width="12.140625" style="10" customWidth="1"/>
    <col min="11275" max="11275" width="11" style="10" bestFit="1" customWidth="1"/>
    <col min="11276" max="11276" width="8.140625" style="10" customWidth="1"/>
    <col min="11277" max="11277" width="34.5703125" style="10" bestFit="1" customWidth="1"/>
    <col min="11278" max="11280" width="9.42578125" style="10"/>
    <col min="11281" max="11281" width="10" style="10" customWidth="1"/>
    <col min="11282" max="11520" width="9.42578125" style="10"/>
    <col min="11521" max="11521" width="38.85546875" style="10" customWidth="1"/>
    <col min="11522" max="11522" width="26" style="10" bestFit="1" customWidth="1"/>
    <col min="11523" max="11523" width="30" style="10" bestFit="1" customWidth="1"/>
    <col min="11524" max="11524" width="20.28515625" style="10" customWidth="1"/>
    <col min="11525" max="11527" width="11.5703125" style="10" bestFit="1" customWidth="1"/>
    <col min="11528" max="11529" width="11" style="10" bestFit="1" customWidth="1"/>
    <col min="11530" max="11530" width="12.140625" style="10" customWidth="1"/>
    <col min="11531" max="11531" width="11" style="10" bestFit="1" customWidth="1"/>
    <col min="11532" max="11532" width="8.140625" style="10" customWidth="1"/>
    <col min="11533" max="11533" width="34.5703125" style="10" bestFit="1" customWidth="1"/>
    <col min="11534" max="11536" width="9.42578125" style="10"/>
    <col min="11537" max="11537" width="10" style="10" customWidth="1"/>
    <col min="11538" max="11776" width="9.42578125" style="10"/>
    <col min="11777" max="11777" width="38.85546875" style="10" customWidth="1"/>
    <col min="11778" max="11778" width="26" style="10" bestFit="1" customWidth="1"/>
    <col min="11779" max="11779" width="30" style="10" bestFit="1" customWidth="1"/>
    <col min="11780" max="11780" width="20.28515625" style="10" customWidth="1"/>
    <col min="11781" max="11783" width="11.5703125" style="10" bestFit="1" customWidth="1"/>
    <col min="11784" max="11785" width="11" style="10" bestFit="1" customWidth="1"/>
    <col min="11786" max="11786" width="12.140625" style="10" customWidth="1"/>
    <col min="11787" max="11787" width="11" style="10" bestFit="1" customWidth="1"/>
    <col min="11788" max="11788" width="8.140625" style="10" customWidth="1"/>
    <col min="11789" max="11789" width="34.5703125" style="10" bestFit="1" customWidth="1"/>
    <col min="11790" max="11792" width="9.42578125" style="10"/>
    <col min="11793" max="11793" width="10" style="10" customWidth="1"/>
    <col min="11794" max="12032" width="9.42578125" style="10"/>
    <col min="12033" max="12033" width="38.85546875" style="10" customWidth="1"/>
    <col min="12034" max="12034" width="26" style="10" bestFit="1" customWidth="1"/>
    <col min="12035" max="12035" width="30" style="10" bestFit="1" customWidth="1"/>
    <col min="12036" max="12036" width="20.28515625" style="10" customWidth="1"/>
    <col min="12037" max="12039" width="11.5703125" style="10" bestFit="1" customWidth="1"/>
    <col min="12040" max="12041" width="11" style="10" bestFit="1" customWidth="1"/>
    <col min="12042" max="12042" width="12.140625" style="10" customWidth="1"/>
    <col min="12043" max="12043" width="11" style="10" bestFit="1" customWidth="1"/>
    <col min="12044" max="12044" width="8.140625" style="10" customWidth="1"/>
    <col min="12045" max="12045" width="34.5703125" style="10" bestFit="1" customWidth="1"/>
    <col min="12046" max="12048" width="9.42578125" style="10"/>
    <col min="12049" max="12049" width="10" style="10" customWidth="1"/>
    <col min="12050" max="12288" width="9.42578125" style="10"/>
    <col min="12289" max="12289" width="38.85546875" style="10" customWidth="1"/>
    <col min="12290" max="12290" width="26" style="10" bestFit="1" customWidth="1"/>
    <col min="12291" max="12291" width="30" style="10" bestFit="1" customWidth="1"/>
    <col min="12292" max="12292" width="20.28515625" style="10" customWidth="1"/>
    <col min="12293" max="12295" width="11.5703125" style="10" bestFit="1" customWidth="1"/>
    <col min="12296" max="12297" width="11" style="10" bestFit="1" customWidth="1"/>
    <col min="12298" max="12298" width="12.140625" style="10" customWidth="1"/>
    <col min="12299" max="12299" width="11" style="10" bestFit="1" customWidth="1"/>
    <col min="12300" max="12300" width="8.140625" style="10" customWidth="1"/>
    <col min="12301" max="12301" width="34.5703125" style="10" bestFit="1" customWidth="1"/>
    <col min="12302" max="12304" width="9.42578125" style="10"/>
    <col min="12305" max="12305" width="10" style="10" customWidth="1"/>
    <col min="12306" max="12544" width="9.42578125" style="10"/>
    <col min="12545" max="12545" width="38.85546875" style="10" customWidth="1"/>
    <col min="12546" max="12546" width="26" style="10" bestFit="1" customWidth="1"/>
    <col min="12547" max="12547" width="30" style="10" bestFit="1" customWidth="1"/>
    <col min="12548" max="12548" width="20.28515625" style="10" customWidth="1"/>
    <col min="12549" max="12551" width="11.5703125" style="10" bestFit="1" customWidth="1"/>
    <col min="12552" max="12553" width="11" style="10" bestFit="1" customWidth="1"/>
    <col min="12554" max="12554" width="12.140625" style="10" customWidth="1"/>
    <col min="12555" max="12555" width="11" style="10" bestFit="1" customWidth="1"/>
    <col min="12556" max="12556" width="8.140625" style="10" customWidth="1"/>
    <col min="12557" max="12557" width="34.5703125" style="10" bestFit="1" customWidth="1"/>
    <col min="12558" max="12560" width="9.42578125" style="10"/>
    <col min="12561" max="12561" width="10" style="10" customWidth="1"/>
    <col min="12562" max="12800" width="9.42578125" style="10"/>
    <col min="12801" max="12801" width="38.85546875" style="10" customWidth="1"/>
    <col min="12802" max="12802" width="26" style="10" bestFit="1" customWidth="1"/>
    <col min="12803" max="12803" width="30" style="10" bestFit="1" customWidth="1"/>
    <col min="12804" max="12804" width="20.28515625" style="10" customWidth="1"/>
    <col min="12805" max="12807" width="11.5703125" style="10" bestFit="1" customWidth="1"/>
    <col min="12808" max="12809" width="11" style="10" bestFit="1" customWidth="1"/>
    <col min="12810" max="12810" width="12.140625" style="10" customWidth="1"/>
    <col min="12811" max="12811" width="11" style="10" bestFit="1" customWidth="1"/>
    <col min="12812" max="12812" width="8.140625" style="10" customWidth="1"/>
    <col min="12813" max="12813" width="34.5703125" style="10" bestFit="1" customWidth="1"/>
    <col min="12814" max="12816" width="9.42578125" style="10"/>
    <col min="12817" max="12817" width="10" style="10" customWidth="1"/>
    <col min="12818" max="13056" width="9.42578125" style="10"/>
    <col min="13057" max="13057" width="38.85546875" style="10" customWidth="1"/>
    <col min="13058" max="13058" width="26" style="10" bestFit="1" customWidth="1"/>
    <col min="13059" max="13059" width="30" style="10" bestFit="1" customWidth="1"/>
    <col min="13060" max="13060" width="20.28515625" style="10" customWidth="1"/>
    <col min="13061" max="13063" width="11.5703125" style="10" bestFit="1" customWidth="1"/>
    <col min="13064" max="13065" width="11" style="10" bestFit="1" customWidth="1"/>
    <col min="13066" max="13066" width="12.140625" style="10" customWidth="1"/>
    <col min="13067" max="13067" width="11" style="10" bestFit="1" customWidth="1"/>
    <col min="13068" max="13068" width="8.140625" style="10" customWidth="1"/>
    <col min="13069" max="13069" width="34.5703125" style="10" bestFit="1" customWidth="1"/>
    <col min="13070" max="13072" width="9.42578125" style="10"/>
    <col min="13073" max="13073" width="10" style="10" customWidth="1"/>
    <col min="13074" max="13312" width="9.42578125" style="10"/>
    <col min="13313" max="13313" width="38.85546875" style="10" customWidth="1"/>
    <col min="13314" max="13314" width="26" style="10" bestFit="1" customWidth="1"/>
    <col min="13315" max="13315" width="30" style="10" bestFit="1" customWidth="1"/>
    <col min="13316" max="13316" width="20.28515625" style="10" customWidth="1"/>
    <col min="13317" max="13319" width="11.5703125" style="10" bestFit="1" customWidth="1"/>
    <col min="13320" max="13321" width="11" style="10" bestFit="1" customWidth="1"/>
    <col min="13322" max="13322" width="12.140625" style="10" customWidth="1"/>
    <col min="13323" max="13323" width="11" style="10" bestFit="1" customWidth="1"/>
    <col min="13324" max="13324" width="8.140625" style="10" customWidth="1"/>
    <col min="13325" max="13325" width="34.5703125" style="10" bestFit="1" customWidth="1"/>
    <col min="13326" max="13328" width="9.42578125" style="10"/>
    <col min="13329" max="13329" width="10" style="10" customWidth="1"/>
    <col min="13330" max="13568" width="9.42578125" style="10"/>
    <col min="13569" max="13569" width="38.85546875" style="10" customWidth="1"/>
    <col min="13570" max="13570" width="26" style="10" bestFit="1" customWidth="1"/>
    <col min="13571" max="13571" width="30" style="10" bestFit="1" customWidth="1"/>
    <col min="13572" max="13572" width="20.28515625" style="10" customWidth="1"/>
    <col min="13573" max="13575" width="11.5703125" style="10" bestFit="1" customWidth="1"/>
    <col min="13576" max="13577" width="11" style="10" bestFit="1" customWidth="1"/>
    <col min="13578" max="13578" width="12.140625" style="10" customWidth="1"/>
    <col min="13579" max="13579" width="11" style="10" bestFit="1" customWidth="1"/>
    <col min="13580" max="13580" width="8.140625" style="10" customWidth="1"/>
    <col min="13581" max="13581" width="34.5703125" style="10" bestFit="1" customWidth="1"/>
    <col min="13582" max="13584" width="9.42578125" style="10"/>
    <col min="13585" max="13585" width="10" style="10" customWidth="1"/>
    <col min="13586" max="13824" width="9.42578125" style="10"/>
    <col min="13825" max="13825" width="38.85546875" style="10" customWidth="1"/>
    <col min="13826" max="13826" width="26" style="10" bestFit="1" customWidth="1"/>
    <col min="13827" max="13827" width="30" style="10" bestFit="1" customWidth="1"/>
    <col min="13828" max="13828" width="20.28515625" style="10" customWidth="1"/>
    <col min="13829" max="13831" width="11.5703125" style="10" bestFit="1" customWidth="1"/>
    <col min="13832" max="13833" width="11" style="10" bestFit="1" customWidth="1"/>
    <col min="13834" max="13834" width="12.140625" style="10" customWidth="1"/>
    <col min="13835" max="13835" width="11" style="10" bestFit="1" customWidth="1"/>
    <col min="13836" max="13836" width="8.140625" style="10" customWidth="1"/>
    <col min="13837" max="13837" width="34.5703125" style="10" bestFit="1" customWidth="1"/>
    <col min="13838" max="13840" width="9.42578125" style="10"/>
    <col min="13841" max="13841" width="10" style="10" customWidth="1"/>
    <col min="13842" max="14080" width="9.42578125" style="10"/>
    <col min="14081" max="14081" width="38.85546875" style="10" customWidth="1"/>
    <col min="14082" max="14082" width="26" style="10" bestFit="1" customWidth="1"/>
    <col min="14083" max="14083" width="30" style="10" bestFit="1" customWidth="1"/>
    <col min="14084" max="14084" width="20.28515625" style="10" customWidth="1"/>
    <col min="14085" max="14087" width="11.5703125" style="10" bestFit="1" customWidth="1"/>
    <col min="14088" max="14089" width="11" style="10" bestFit="1" customWidth="1"/>
    <col min="14090" max="14090" width="12.140625" style="10" customWidth="1"/>
    <col min="14091" max="14091" width="11" style="10" bestFit="1" customWidth="1"/>
    <col min="14092" max="14092" width="8.140625" style="10" customWidth="1"/>
    <col min="14093" max="14093" width="34.5703125" style="10" bestFit="1" customWidth="1"/>
    <col min="14094" max="14096" width="9.42578125" style="10"/>
    <col min="14097" max="14097" width="10" style="10" customWidth="1"/>
    <col min="14098" max="14336" width="9.42578125" style="10"/>
    <col min="14337" max="14337" width="38.85546875" style="10" customWidth="1"/>
    <col min="14338" max="14338" width="26" style="10" bestFit="1" customWidth="1"/>
    <col min="14339" max="14339" width="30" style="10" bestFit="1" customWidth="1"/>
    <col min="14340" max="14340" width="20.28515625" style="10" customWidth="1"/>
    <col min="14341" max="14343" width="11.5703125" style="10" bestFit="1" customWidth="1"/>
    <col min="14344" max="14345" width="11" style="10" bestFit="1" customWidth="1"/>
    <col min="14346" max="14346" width="12.140625" style="10" customWidth="1"/>
    <col min="14347" max="14347" width="11" style="10" bestFit="1" customWidth="1"/>
    <col min="14348" max="14348" width="8.140625" style="10" customWidth="1"/>
    <col min="14349" max="14349" width="34.5703125" style="10" bestFit="1" customWidth="1"/>
    <col min="14350" max="14352" width="9.42578125" style="10"/>
    <col min="14353" max="14353" width="10" style="10" customWidth="1"/>
    <col min="14354" max="14592" width="9.42578125" style="10"/>
    <col min="14593" max="14593" width="38.85546875" style="10" customWidth="1"/>
    <col min="14594" max="14594" width="26" style="10" bestFit="1" customWidth="1"/>
    <col min="14595" max="14595" width="30" style="10" bestFit="1" customWidth="1"/>
    <col min="14596" max="14596" width="20.28515625" style="10" customWidth="1"/>
    <col min="14597" max="14599" width="11.5703125" style="10" bestFit="1" customWidth="1"/>
    <col min="14600" max="14601" width="11" style="10" bestFit="1" customWidth="1"/>
    <col min="14602" max="14602" width="12.140625" style="10" customWidth="1"/>
    <col min="14603" max="14603" width="11" style="10" bestFit="1" customWidth="1"/>
    <col min="14604" max="14604" width="8.140625" style="10" customWidth="1"/>
    <col min="14605" max="14605" width="34.5703125" style="10" bestFit="1" customWidth="1"/>
    <col min="14606" max="14608" width="9.42578125" style="10"/>
    <col min="14609" max="14609" width="10" style="10" customWidth="1"/>
    <col min="14610" max="14848" width="9.42578125" style="10"/>
    <col min="14849" max="14849" width="38.85546875" style="10" customWidth="1"/>
    <col min="14850" max="14850" width="26" style="10" bestFit="1" customWidth="1"/>
    <col min="14851" max="14851" width="30" style="10" bestFit="1" customWidth="1"/>
    <col min="14852" max="14852" width="20.28515625" style="10" customWidth="1"/>
    <col min="14853" max="14855" width="11.5703125" style="10" bestFit="1" customWidth="1"/>
    <col min="14856" max="14857" width="11" style="10" bestFit="1" customWidth="1"/>
    <col min="14858" max="14858" width="12.140625" style="10" customWidth="1"/>
    <col min="14859" max="14859" width="11" style="10" bestFit="1" customWidth="1"/>
    <col min="14860" max="14860" width="8.140625" style="10" customWidth="1"/>
    <col min="14861" max="14861" width="34.5703125" style="10" bestFit="1" customWidth="1"/>
    <col min="14862" max="14864" width="9.42578125" style="10"/>
    <col min="14865" max="14865" width="10" style="10" customWidth="1"/>
    <col min="14866" max="15104" width="9.42578125" style="10"/>
    <col min="15105" max="15105" width="38.85546875" style="10" customWidth="1"/>
    <col min="15106" max="15106" width="26" style="10" bestFit="1" customWidth="1"/>
    <col min="15107" max="15107" width="30" style="10" bestFit="1" customWidth="1"/>
    <col min="15108" max="15108" width="20.28515625" style="10" customWidth="1"/>
    <col min="15109" max="15111" width="11.5703125" style="10" bestFit="1" customWidth="1"/>
    <col min="15112" max="15113" width="11" style="10" bestFit="1" customWidth="1"/>
    <col min="15114" max="15114" width="12.140625" style="10" customWidth="1"/>
    <col min="15115" max="15115" width="11" style="10" bestFit="1" customWidth="1"/>
    <col min="15116" max="15116" width="8.140625" style="10" customWidth="1"/>
    <col min="15117" max="15117" width="34.5703125" style="10" bestFit="1" customWidth="1"/>
    <col min="15118" max="15120" width="9.42578125" style="10"/>
    <col min="15121" max="15121" width="10" style="10" customWidth="1"/>
    <col min="15122" max="15360" width="9.42578125" style="10"/>
    <col min="15361" max="15361" width="38.85546875" style="10" customWidth="1"/>
    <col min="15362" max="15362" width="26" style="10" bestFit="1" customWidth="1"/>
    <col min="15363" max="15363" width="30" style="10" bestFit="1" customWidth="1"/>
    <col min="15364" max="15364" width="20.28515625" style="10" customWidth="1"/>
    <col min="15365" max="15367" width="11.5703125" style="10" bestFit="1" customWidth="1"/>
    <col min="15368" max="15369" width="11" style="10" bestFit="1" customWidth="1"/>
    <col min="15370" max="15370" width="12.140625" style="10" customWidth="1"/>
    <col min="15371" max="15371" width="11" style="10" bestFit="1" customWidth="1"/>
    <col min="15372" max="15372" width="8.140625" style="10" customWidth="1"/>
    <col min="15373" max="15373" width="34.5703125" style="10" bestFit="1" customWidth="1"/>
    <col min="15374" max="15376" width="9.42578125" style="10"/>
    <col min="15377" max="15377" width="10" style="10" customWidth="1"/>
    <col min="15378" max="15616" width="9.42578125" style="10"/>
    <col min="15617" max="15617" width="38.85546875" style="10" customWidth="1"/>
    <col min="15618" max="15618" width="26" style="10" bestFit="1" customWidth="1"/>
    <col min="15619" max="15619" width="30" style="10" bestFit="1" customWidth="1"/>
    <col min="15620" max="15620" width="20.28515625" style="10" customWidth="1"/>
    <col min="15621" max="15623" width="11.5703125" style="10" bestFit="1" customWidth="1"/>
    <col min="15624" max="15625" width="11" style="10" bestFit="1" customWidth="1"/>
    <col min="15626" max="15626" width="12.140625" style="10" customWidth="1"/>
    <col min="15627" max="15627" width="11" style="10" bestFit="1" customWidth="1"/>
    <col min="15628" max="15628" width="8.140625" style="10" customWidth="1"/>
    <col min="15629" max="15629" width="34.5703125" style="10" bestFit="1" customWidth="1"/>
    <col min="15630" max="15632" width="9.42578125" style="10"/>
    <col min="15633" max="15633" width="10" style="10" customWidth="1"/>
    <col min="15634" max="15872" width="9.42578125" style="10"/>
    <col min="15873" max="15873" width="38.85546875" style="10" customWidth="1"/>
    <col min="15874" max="15874" width="26" style="10" bestFit="1" customWidth="1"/>
    <col min="15875" max="15875" width="30" style="10" bestFit="1" customWidth="1"/>
    <col min="15876" max="15876" width="20.28515625" style="10" customWidth="1"/>
    <col min="15877" max="15879" width="11.5703125" style="10" bestFit="1" customWidth="1"/>
    <col min="15880" max="15881" width="11" style="10" bestFit="1" customWidth="1"/>
    <col min="15882" max="15882" width="12.140625" style="10" customWidth="1"/>
    <col min="15883" max="15883" width="11" style="10" bestFit="1" customWidth="1"/>
    <col min="15884" max="15884" width="8.140625" style="10" customWidth="1"/>
    <col min="15885" max="15885" width="34.5703125" style="10" bestFit="1" customWidth="1"/>
    <col min="15886" max="15888" width="9.42578125" style="10"/>
    <col min="15889" max="15889" width="10" style="10" customWidth="1"/>
    <col min="15890" max="16128" width="9.42578125" style="10"/>
    <col min="16129" max="16129" width="38.85546875" style="10" customWidth="1"/>
    <col min="16130" max="16130" width="26" style="10" bestFit="1" customWidth="1"/>
    <col min="16131" max="16131" width="30" style="10" bestFit="1" customWidth="1"/>
    <col min="16132" max="16132" width="20.28515625" style="10" customWidth="1"/>
    <col min="16133" max="16135" width="11.5703125" style="10" bestFit="1" customWidth="1"/>
    <col min="16136" max="16137" width="11" style="10" bestFit="1" customWidth="1"/>
    <col min="16138" max="16138" width="12.140625" style="10" customWidth="1"/>
    <col min="16139" max="16139" width="11" style="10" bestFit="1" customWidth="1"/>
    <col min="16140" max="16140" width="8.140625" style="10" customWidth="1"/>
    <col min="16141" max="16141" width="34.5703125" style="10" bestFit="1" customWidth="1"/>
    <col min="16142" max="16144" width="9.42578125" style="10"/>
    <col min="16145" max="16145" width="10" style="10" customWidth="1"/>
    <col min="16146" max="16384" width="9.42578125" style="10"/>
  </cols>
  <sheetData>
    <row r="1" spans="1:33" s="2" customFormat="1" ht="17.25" thickBot="1" x14ac:dyDescent="0.35">
      <c r="A1" s="289" t="s">
        <v>0</v>
      </c>
      <c r="B1" s="290"/>
      <c r="C1" s="290"/>
      <c r="D1" s="290"/>
      <c r="E1" s="290"/>
      <c r="F1" s="290"/>
      <c r="G1" s="290"/>
      <c r="H1" s="291"/>
      <c r="I1" s="1"/>
      <c r="J1" s="1"/>
      <c r="K1" s="1"/>
      <c r="L1" s="1"/>
      <c r="M1" s="1"/>
      <c r="N1" s="1"/>
      <c r="O1" s="1"/>
      <c r="P1" s="1"/>
      <c r="Q1" s="1"/>
      <c r="R1" s="1"/>
      <c r="S1" s="1"/>
      <c r="T1" s="1"/>
      <c r="U1" s="1"/>
      <c r="V1" s="1"/>
      <c r="W1" s="1"/>
      <c r="X1" s="1"/>
      <c r="Y1" s="1"/>
      <c r="Z1" s="1"/>
      <c r="AA1" s="1"/>
      <c r="AB1" s="1"/>
      <c r="AC1" s="1"/>
      <c r="AD1" s="1"/>
      <c r="AE1" s="1"/>
      <c r="AF1" s="1"/>
      <c r="AG1" s="1"/>
    </row>
    <row r="2" spans="1:33" x14ac:dyDescent="0.3">
      <c r="A2" s="3" t="s">
        <v>1</v>
      </c>
      <c r="B2" s="200">
        <v>365</v>
      </c>
      <c r="C2" s="4"/>
      <c r="D2" s="5"/>
      <c r="E2" s="6">
        <v>2012</v>
      </c>
      <c r="F2" s="6">
        <v>2013</v>
      </c>
      <c r="G2" s="6">
        <v>2014</v>
      </c>
      <c r="H2" s="7">
        <v>2015</v>
      </c>
      <c r="I2" s="9" t="s">
        <v>2</v>
      </c>
      <c r="J2" s="1"/>
      <c r="K2" s="8"/>
      <c r="L2" s="1"/>
      <c r="N2" s="1"/>
      <c r="O2" s="1"/>
      <c r="P2" s="1"/>
      <c r="Q2" s="1"/>
      <c r="R2" s="1"/>
      <c r="S2" s="1"/>
      <c r="T2" s="1"/>
      <c r="U2" s="1"/>
      <c r="V2" s="1"/>
      <c r="W2" s="1"/>
      <c r="X2" s="1"/>
      <c r="Y2" s="1"/>
      <c r="Z2" s="1"/>
      <c r="AA2" s="1"/>
      <c r="AB2" s="1"/>
      <c r="AC2" s="1"/>
      <c r="AD2" s="1"/>
      <c r="AE2" s="1"/>
      <c r="AF2" s="1"/>
      <c r="AG2" s="1"/>
    </row>
    <row r="3" spans="1:33" x14ac:dyDescent="0.3">
      <c r="A3" s="11" t="s">
        <v>3</v>
      </c>
      <c r="B3" s="185">
        <v>0</v>
      </c>
      <c r="C3" s="12" t="s">
        <v>4</v>
      </c>
      <c r="D3" s="13"/>
      <c r="E3" s="14"/>
      <c r="F3" s="14"/>
      <c r="G3" s="14"/>
      <c r="H3" s="15"/>
      <c r="I3" s="10" t="str">
        <f>"Residential and Commercial units are anticipated to grow by "&amp;B3*100&amp; " percent year over year."</f>
        <v>Residential and Commercial units are anticipated to grow by 0 percent year over year.</v>
      </c>
      <c r="J3" s="1"/>
      <c r="K3" s="8"/>
      <c r="L3" s="1"/>
      <c r="N3" s="1"/>
      <c r="O3" s="1"/>
      <c r="P3" s="1"/>
      <c r="Q3" s="1"/>
      <c r="R3" s="1"/>
      <c r="S3" s="1"/>
      <c r="T3" s="1"/>
      <c r="U3" s="1"/>
      <c r="V3" s="1"/>
      <c r="W3" s="1"/>
      <c r="X3" s="1"/>
      <c r="Y3" s="1"/>
      <c r="Z3" s="1"/>
      <c r="AA3" s="1"/>
      <c r="AB3" s="1"/>
      <c r="AC3" s="1"/>
      <c r="AD3" s="1"/>
      <c r="AE3" s="1"/>
      <c r="AF3" s="1"/>
      <c r="AG3" s="1"/>
    </row>
    <row r="4" spans="1:33" x14ac:dyDescent="0.3">
      <c r="A4" s="16"/>
      <c r="B4" s="186">
        <v>1</v>
      </c>
      <c r="C4" s="17" t="s">
        <v>5</v>
      </c>
      <c r="D4" s="17" t="str">
        <f>+C6</f>
        <v>units commercial</v>
      </c>
      <c r="E4" s="17">
        <f>+B4*B5</f>
        <v>3</v>
      </c>
      <c r="F4" s="17">
        <f>ROUNDUP(+E4*(1+$B$3),0)</f>
        <v>3</v>
      </c>
      <c r="G4" s="17">
        <f t="shared" ref="G4:H4" si="0">ROUNDUP(+F4*(1+$B$3),0)</f>
        <v>3</v>
      </c>
      <c r="H4" s="18">
        <f t="shared" si="0"/>
        <v>3</v>
      </c>
      <c r="I4" s="21" t="str">
        <f>+"There are three commercial units for rent with an annual increase in units of "&amp;$B$3*100&amp;" percent."</f>
        <v>There are three commercial units for rent with an annual increase in units of 0 percent.</v>
      </c>
      <c r="J4" s="1"/>
      <c r="K4" s="19"/>
      <c r="L4" s="20"/>
      <c r="N4" s="1"/>
      <c r="O4" s="1"/>
      <c r="P4" s="1"/>
      <c r="Q4" s="1"/>
      <c r="R4" s="1"/>
      <c r="S4" s="1"/>
      <c r="T4" s="1"/>
      <c r="U4" s="1"/>
      <c r="V4" s="1"/>
      <c r="W4" s="1"/>
      <c r="X4" s="1"/>
      <c r="Y4" s="1"/>
      <c r="Z4" s="1"/>
      <c r="AA4" s="1"/>
      <c r="AB4" s="1"/>
      <c r="AC4" s="1"/>
      <c r="AD4" s="1"/>
      <c r="AE4" s="1"/>
      <c r="AF4" s="1"/>
      <c r="AG4" s="1"/>
    </row>
    <row r="5" spans="1:33" x14ac:dyDescent="0.3">
      <c r="A5" s="16"/>
      <c r="B5" s="186">
        <v>3</v>
      </c>
      <c r="C5" s="17" t="s">
        <v>6</v>
      </c>
      <c r="D5" s="17" t="str">
        <f>+C5</f>
        <v>units residential</v>
      </c>
      <c r="E5" s="17">
        <f>+B4*B6</f>
        <v>3</v>
      </c>
      <c r="F5" s="17">
        <f>ROUNDUP(+E5*(1+$B$3),0)</f>
        <v>3</v>
      </c>
      <c r="G5" s="17">
        <f>ROUNDUP(+F5*(1+$B$3),0)</f>
        <v>3</v>
      </c>
      <c r="H5" s="18">
        <f>ROUNDUP(+G5*(1+$B$3),0)</f>
        <v>3</v>
      </c>
      <c r="I5" s="21" t="str">
        <f>+"There are three residential units for rent with an annual increase in units of "&amp;$B$3*100&amp;" percent."</f>
        <v>There are three residential units for rent with an annual increase in units of 0 percent.</v>
      </c>
      <c r="J5" s="1"/>
      <c r="K5" s="19"/>
      <c r="L5" s="20"/>
      <c r="N5" s="1"/>
      <c r="O5" s="1"/>
      <c r="P5" s="1"/>
      <c r="Q5" s="1"/>
      <c r="R5" s="1"/>
      <c r="S5" s="1"/>
      <c r="T5" s="1"/>
      <c r="U5" s="1"/>
      <c r="V5" s="1"/>
      <c r="W5" s="1"/>
      <c r="X5" s="1"/>
      <c r="Y5" s="1"/>
      <c r="Z5" s="1"/>
      <c r="AA5" s="1"/>
      <c r="AB5" s="1"/>
      <c r="AC5" s="1"/>
      <c r="AD5" s="1"/>
      <c r="AE5" s="1"/>
      <c r="AF5" s="1"/>
      <c r="AG5" s="1"/>
    </row>
    <row r="6" spans="1:33" x14ac:dyDescent="0.3">
      <c r="A6" s="22"/>
      <c r="B6" s="187">
        <v>3</v>
      </c>
      <c r="C6" s="23" t="s">
        <v>7</v>
      </c>
      <c r="D6" s="23"/>
      <c r="E6" s="23"/>
      <c r="F6" s="24"/>
      <c r="G6" s="24"/>
      <c r="H6" s="25"/>
      <c r="I6" s="21"/>
      <c r="J6" s="1"/>
      <c r="K6" s="19"/>
      <c r="L6" s="20"/>
      <c r="N6" s="1"/>
      <c r="O6" s="1"/>
      <c r="P6" s="1"/>
      <c r="Q6" s="1"/>
      <c r="R6" s="1"/>
      <c r="S6" s="1"/>
      <c r="T6" s="1"/>
      <c r="U6" s="1"/>
      <c r="V6" s="1"/>
      <c r="W6" s="1"/>
      <c r="X6" s="1"/>
      <c r="Y6" s="1"/>
      <c r="Z6" s="1"/>
      <c r="AA6" s="1"/>
      <c r="AB6" s="1"/>
      <c r="AC6" s="1"/>
      <c r="AD6" s="1"/>
      <c r="AE6" s="1"/>
      <c r="AF6" s="1"/>
      <c r="AG6" s="1"/>
    </row>
    <row r="7" spans="1:33" x14ac:dyDescent="0.3">
      <c r="A7" s="26" t="s">
        <v>8</v>
      </c>
      <c r="B7" s="188">
        <v>250</v>
      </c>
      <c r="C7" s="27" t="s">
        <v>9</v>
      </c>
      <c r="D7" s="27" t="s">
        <v>129</v>
      </c>
      <c r="E7" s="28">
        <f>+B14</f>
        <v>1617</v>
      </c>
      <c r="F7" s="28">
        <f>+E7*(1+$B$8)</f>
        <v>1665.51</v>
      </c>
      <c r="G7" s="28">
        <f>+F7*(1+$B$8)</f>
        <v>1715.4753000000001</v>
      </c>
      <c r="H7" s="29">
        <f>+G7*(1+$B$8)</f>
        <v>1766.9395590000001</v>
      </c>
      <c r="I7" s="30" t="str">
        <f>+"Revenue "&amp;  D7 &amp; " is anticipated to increase by " &amp;B8*100&amp; " percent annual inflation, year over year."</f>
        <v>Revenue per commercial unit is anticipated to increase by 3 percent annual inflation, year over year.</v>
      </c>
      <c r="J7" s="1"/>
      <c r="K7" s="19"/>
      <c r="L7" s="20"/>
      <c r="N7" s="1"/>
      <c r="O7" s="1"/>
      <c r="P7" s="1"/>
      <c r="Q7" s="1"/>
      <c r="R7" s="1"/>
      <c r="S7" s="1"/>
      <c r="T7" s="1"/>
      <c r="U7" s="1"/>
      <c r="V7" s="1"/>
      <c r="W7" s="1"/>
      <c r="X7" s="1"/>
      <c r="Y7" s="1"/>
      <c r="Z7" s="1"/>
      <c r="AA7" s="1"/>
      <c r="AB7" s="1"/>
      <c r="AC7" s="1"/>
      <c r="AD7" s="1"/>
      <c r="AE7" s="1"/>
      <c r="AF7" s="1"/>
      <c r="AG7" s="1"/>
    </row>
    <row r="8" spans="1:33" x14ac:dyDescent="0.3">
      <c r="A8" s="11"/>
      <c r="B8" s="189">
        <v>0.03</v>
      </c>
      <c r="C8" s="17" t="s">
        <v>11</v>
      </c>
      <c r="D8" s="17" t="s">
        <v>130</v>
      </c>
      <c r="E8" s="17">
        <f>+B9*B12</f>
        <v>517</v>
      </c>
      <c r="F8" s="17">
        <f>+E8*(1+$B$8)</f>
        <v>532.51</v>
      </c>
      <c r="G8" s="17">
        <f>+F8*(1+$B$8)</f>
        <v>548.48530000000005</v>
      </c>
      <c r="H8" s="18">
        <f t="shared" ref="H8" si="1">+G8*(1+$B$8)</f>
        <v>564.93985900000007</v>
      </c>
      <c r="I8" s="30" t="str">
        <f>+"Revenue "&amp;  D8 &amp; " is anticipated to increase by " &amp;B8*100&amp; " percent annual inflation, year over year."</f>
        <v>Revenue per residential unit is anticipated to increase by 3 percent annual inflation, year over year.</v>
      </c>
      <c r="J8" s="1"/>
      <c r="K8" s="19"/>
      <c r="L8" s="20"/>
      <c r="N8" s="1"/>
      <c r="O8" s="1"/>
      <c r="P8" s="1"/>
      <c r="Q8" s="1"/>
      <c r="R8" s="1"/>
      <c r="S8" s="1"/>
      <c r="T8" s="1"/>
      <c r="U8" s="1"/>
      <c r="V8" s="1"/>
      <c r="W8" s="1"/>
      <c r="X8" s="1"/>
      <c r="Y8" s="1"/>
      <c r="Z8" s="1"/>
      <c r="AA8" s="1"/>
      <c r="AB8" s="1"/>
      <c r="AC8" s="1"/>
      <c r="AD8" s="1"/>
      <c r="AE8" s="1"/>
      <c r="AF8" s="1"/>
      <c r="AG8" s="1"/>
    </row>
    <row r="9" spans="1:33" x14ac:dyDescent="0.3">
      <c r="A9" s="11"/>
      <c r="B9" s="186">
        <f>1650/3</f>
        <v>550</v>
      </c>
      <c r="C9" s="17" t="s">
        <v>12</v>
      </c>
      <c r="D9" s="17" t="s">
        <v>13</v>
      </c>
      <c r="E9" s="17">
        <f>+E7*E4*E17</f>
        <v>4608.45</v>
      </c>
      <c r="F9" s="17">
        <f>+F7*F4*F17</f>
        <v>4746.7034999999996</v>
      </c>
      <c r="G9" s="17">
        <f>+G7*G4*G17</f>
        <v>4889.1046049999995</v>
      </c>
      <c r="H9" s="18">
        <f>+H7*H4*H17</f>
        <v>5035.7777431499999</v>
      </c>
      <c r="I9" s="21" t="str">
        <f>+"Average square feet per residential unit is estimated to be "&amp; B9&amp;"."</f>
        <v>Average square feet per residential unit is estimated to be 550.</v>
      </c>
      <c r="J9" s="1"/>
      <c r="K9" s="19"/>
      <c r="L9" s="20"/>
      <c r="N9" s="1"/>
      <c r="O9" s="1"/>
      <c r="P9" s="1"/>
      <c r="Q9" s="1"/>
      <c r="R9" s="1"/>
      <c r="S9" s="1"/>
      <c r="T9" s="1"/>
      <c r="U9" s="1"/>
      <c r="V9" s="1"/>
      <c r="W9" s="1"/>
      <c r="X9" s="1"/>
      <c r="Y9" s="1"/>
      <c r="Z9" s="1"/>
      <c r="AA9" s="1"/>
      <c r="AB9" s="1"/>
      <c r="AC9" s="1"/>
      <c r="AD9" s="1"/>
      <c r="AE9" s="1"/>
      <c r="AF9" s="1"/>
      <c r="AG9" s="1"/>
    </row>
    <row r="10" spans="1:33" x14ac:dyDescent="0.3">
      <c r="A10" s="11"/>
      <c r="B10" s="186">
        <v>1050</v>
      </c>
      <c r="C10" s="17" t="s">
        <v>10</v>
      </c>
      <c r="D10" s="17" t="s">
        <v>14</v>
      </c>
      <c r="E10" s="17">
        <f>+E8*E5*E17</f>
        <v>1473.4499999999998</v>
      </c>
      <c r="F10" s="17">
        <f>+F8*F5*F17</f>
        <v>1517.6534999999999</v>
      </c>
      <c r="G10" s="17">
        <f>+G8*G5*G17</f>
        <v>1563.1831050000001</v>
      </c>
      <c r="H10" s="18">
        <f>+H8*H5*H17</f>
        <v>1610.0785981500001</v>
      </c>
      <c r="I10" s="21" t="str">
        <f>+"Average square feet per commercial unit is estimated to be "&amp; B10&amp;"."</f>
        <v>Average square feet per commercial unit is estimated to be 1050.</v>
      </c>
      <c r="J10" s="1"/>
      <c r="K10" s="19"/>
      <c r="L10" s="20"/>
      <c r="N10" s="1"/>
      <c r="O10" s="1"/>
      <c r="P10" s="1"/>
      <c r="Q10" s="1"/>
      <c r="R10" s="1"/>
      <c r="S10" s="1"/>
      <c r="T10" s="1"/>
      <c r="U10" s="1"/>
      <c r="V10" s="1"/>
      <c r="W10" s="1"/>
      <c r="X10" s="1"/>
      <c r="Y10" s="1"/>
      <c r="Z10" s="1"/>
      <c r="AA10" s="1"/>
      <c r="AB10" s="1"/>
      <c r="AC10" s="1"/>
      <c r="AD10" s="1"/>
      <c r="AE10" s="1"/>
      <c r="AF10" s="1"/>
      <c r="AG10" s="1"/>
    </row>
    <row r="11" spans="1:33" x14ac:dyDescent="0.3">
      <c r="A11" s="11"/>
      <c r="B11" s="17"/>
      <c r="C11" s="17"/>
      <c r="D11" s="17" t="s">
        <v>83</v>
      </c>
      <c r="E11" s="17">
        <f>+SUM(E9:E10)</f>
        <v>6081.9</v>
      </c>
      <c r="F11" s="17">
        <f t="shared" ref="F11:H11" si="2">+SUM(F9:F10)</f>
        <v>6264.357</v>
      </c>
      <c r="G11" s="17">
        <f t="shared" si="2"/>
        <v>6452.2877099999996</v>
      </c>
      <c r="H11" s="18">
        <f t="shared" si="2"/>
        <v>6645.8563413000002</v>
      </c>
      <c r="I11" s="21"/>
      <c r="J11" s="1"/>
      <c r="K11" s="19"/>
      <c r="L11" s="20"/>
      <c r="N11" s="1"/>
      <c r="O11" s="1"/>
      <c r="P11" s="1"/>
      <c r="Q11" s="1"/>
      <c r="R11" s="1"/>
      <c r="S11" s="1"/>
      <c r="T11" s="1"/>
      <c r="U11" s="1"/>
      <c r="V11" s="1"/>
      <c r="W11" s="1"/>
      <c r="X11" s="1"/>
      <c r="Y11" s="1"/>
      <c r="Z11" s="1"/>
      <c r="AA11" s="1"/>
      <c r="AB11" s="1"/>
      <c r="AC11" s="1"/>
      <c r="AD11" s="1"/>
      <c r="AE11" s="1"/>
      <c r="AF11" s="1"/>
      <c r="AG11" s="1"/>
    </row>
    <row r="12" spans="1:33" x14ac:dyDescent="0.3">
      <c r="A12" s="11"/>
      <c r="B12" s="190">
        <v>0.94</v>
      </c>
      <c r="C12" s="17" t="s">
        <v>184</v>
      </c>
      <c r="D12" s="17" t="s">
        <v>15</v>
      </c>
      <c r="E12" s="17">
        <f>+E9*12</f>
        <v>55301.399999999994</v>
      </c>
      <c r="F12" s="17">
        <f>+F9*12</f>
        <v>56960.441999999995</v>
      </c>
      <c r="G12" s="17">
        <f>+G9*12</f>
        <v>58669.255259999991</v>
      </c>
      <c r="H12" s="18">
        <f>+H9*12</f>
        <v>60429.332917799999</v>
      </c>
      <c r="I12" s="21" t="str">
        <f>+"Residential pricing per square foot is anticipated to be $" &amp;B12&amp;"."</f>
        <v>Residential pricing per square foot is anticipated to be $0.94.</v>
      </c>
      <c r="J12" s="1"/>
      <c r="K12" s="19"/>
      <c r="L12" s="20"/>
      <c r="N12" s="1"/>
      <c r="O12" s="1"/>
      <c r="P12" s="1"/>
      <c r="Q12" s="1"/>
      <c r="R12" s="1"/>
      <c r="S12" s="1"/>
      <c r="T12" s="1"/>
      <c r="U12" s="1"/>
      <c r="V12" s="1"/>
      <c r="W12" s="1"/>
      <c r="X12" s="1"/>
      <c r="Y12" s="1"/>
      <c r="Z12" s="1"/>
      <c r="AA12" s="1"/>
      <c r="AB12" s="1"/>
      <c r="AC12" s="1"/>
      <c r="AD12" s="1"/>
      <c r="AE12" s="1"/>
      <c r="AF12" s="1"/>
      <c r="AG12" s="1"/>
    </row>
    <row r="13" spans="1:33" x14ac:dyDescent="0.3">
      <c r="A13" s="11"/>
      <c r="B13" s="190">
        <v>1.54</v>
      </c>
      <c r="C13" s="17" t="s">
        <v>16</v>
      </c>
      <c r="D13" s="17" t="s">
        <v>17</v>
      </c>
      <c r="E13" s="17">
        <f>+E10*12</f>
        <v>17681.399999999998</v>
      </c>
      <c r="F13" s="17">
        <f t="shared" ref="F13:G13" si="3">+F10*12</f>
        <v>18211.841999999997</v>
      </c>
      <c r="G13" s="17">
        <f t="shared" si="3"/>
        <v>18758.197260000001</v>
      </c>
      <c r="H13" s="18">
        <f>+H10*12</f>
        <v>19320.9431778</v>
      </c>
      <c r="I13" s="21" t="str">
        <f>+"Commercial pricing per square foot is anticipated to be $" &amp;B13&amp;"."</f>
        <v>Commercial pricing per square foot is anticipated to be $1.54.</v>
      </c>
      <c r="J13" s="1"/>
      <c r="K13" s="19"/>
      <c r="L13" s="20"/>
      <c r="N13" s="1"/>
      <c r="O13" s="1"/>
      <c r="P13" s="1"/>
      <c r="Q13" s="1"/>
      <c r="R13" s="1"/>
      <c r="S13" s="1"/>
      <c r="T13" s="1"/>
      <c r="U13" s="1"/>
      <c r="V13" s="1"/>
      <c r="W13" s="1"/>
      <c r="X13" s="1"/>
      <c r="Y13" s="1"/>
      <c r="Z13" s="1"/>
      <c r="AA13" s="1"/>
      <c r="AB13" s="1"/>
      <c r="AC13" s="1"/>
      <c r="AD13" s="1"/>
      <c r="AE13" s="1"/>
      <c r="AF13" s="1"/>
      <c r="AG13" s="1"/>
    </row>
    <row r="14" spans="1:33" x14ac:dyDescent="0.3">
      <c r="A14" s="11"/>
      <c r="B14" s="186">
        <f>+B10*B13</f>
        <v>1617</v>
      </c>
      <c r="C14" s="17" t="s">
        <v>18</v>
      </c>
      <c r="D14" s="17" t="s">
        <v>19</v>
      </c>
      <c r="E14" s="17">
        <f>+E12+E13</f>
        <v>72982.799999999988</v>
      </c>
      <c r="F14" s="17">
        <f t="shared" ref="F14:G14" si="4">+F12+F13</f>
        <v>75172.283999999985</v>
      </c>
      <c r="G14" s="17">
        <f t="shared" si="4"/>
        <v>77427.452519999992</v>
      </c>
      <c r="H14" s="18">
        <f>+H12+H13</f>
        <v>79750.276095599998</v>
      </c>
      <c r="I14" s="21"/>
      <c r="J14" s="1"/>
      <c r="K14" s="19"/>
      <c r="L14" s="20"/>
      <c r="N14" s="1"/>
      <c r="O14" s="1"/>
      <c r="P14" s="1"/>
      <c r="Q14" s="1"/>
      <c r="R14" s="1"/>
      <c r="S14" s="1"/>
      <c r="T14" s="1"/>
      <c r="U14" s="1"/>
      <c r="V14" s="1"/>
      <c r="W14" s="1"/>
      <c r="X14" s="1"/>
      <c r="Y14" s="1"/>
      <c r="Z14" s="1"/>
      <c r="AA14" s="1"/>
      <c r="AB14" s="1"/>
      <c r="AC14" s="1"/>
      <c r="AD14" s="1"/>
      <c r="AE14" s="1"/>
      <c r="AF14" s="1"/>
      <c r="AG14" s="1"/>
    </row>
    <row r="15" spans="1:33" x14ac:dyDescent="0.3">
      <c r="A15" s="26" t="s">
        <v>86</v>
      </c>
      <c r="B15" s="188">
        <f>+E8*2</f>
        <v>1034</v>
      </c>
      <c r="C15" s="27" t="s">
        <v>88</v>
      </c>
      <c r="D15" s="27"/>
      <c r="E15" s="27">
        <f>+E8*2*E5*E17</f>
        <v>2946.8999999999996</v>
      </c>
      <c r="F15" s="27">
        <f>+F8*2*F5</f>
        <v>3195.06</v>
      </c>
      <c r="G15" s="27">
        <f t="shared" ref="G15" si="5">+G8*2*G5</f>
        <v>3290.9118000000003</v>
      </c>
      <c r="H15" s="36">
        <f>+H8*2*H5</f>
        <v>3389.6391540000004</v>
      </c>
      <c r="I15" s="21" t="s">
        <v>178</v>
      </c>
      <c r="J15" s="1"/>
      <c r="K15" s="19"/>
      <c r="L15" s="20"/>
      <c r="N15" s="1"/>
      <c r="O15" s="1"/>
      <c r="P15" s="1"/>
      <c r="Q15" s="1"/>
      <c r="R15" s="1"/>
      <c r="S15" s="1"/>
      <c r="T15" s="1"/>
      <c r="U15" s="1"/>
      <c r="V15" s="1"/>
      <c r="W15" s="1"/>
      <c r="X15" s="1"/>
      <c r="Y15" s="1"/>
      <c r="Z15" s="1"/>
      <c r="AA15" s="1"/>
      <c r="AB15" s="1"/>
      <c r="AC15" s="1"/>
      <c r="AD15" s="1"/>
      <c r="AE15" s="1"/>
      <c r="AF15" s="1"/>
      <c r="AG15" s="1"/>
    </row>
    <row r="16" spans="1:33" x14ac:dyDescent="0.3">
      <c r="A16" s="11"/>
      <c r="B16" s="186">
        <f>+E7*2</f>
        <v>3234</v>
      </c>
      <c r="C16" s="17" t="s">
        <v>87</v>
      </c>
      <c r="D16" s="17"/>
      <c r="E16" s="17">
        <f>+E7*2*E4*E17</f>
        <v>9216.9</v>
      </c>
      <c r="F16" s="17">
        <f t="shared" ref="F16:G16" si="6">+F7*2*F4</f>
        <v>9993.06</v>
      </c>
      <c r="G16" s="17">
        <f t="shared" si="6"/>
        <v>10292.8518</v>
      </c>
      <c r="H16" s="18">
        <f>+H7*2*H4</f>
        <v>10601.637354</v>
      </c>
      <c r="I16" s="21"/>
      <c r="J16" s="1"/>
      <c r="K16" s="19"/>
      <c r="L16" s="20"/>
      <c r="N16" s="1"/>
      <c r="O16" s="1"/>
      <c r="P16" s="1"/>
      <c r="Q16" s="1"/>
      <c r="R16" s="1"/>
      <c r="S16" s="1"/>
      <c r="T16" s="1"/>
      <c r="U16" s="1"/>
      <c r="V16" s="1"/>
      <c r="W16" s="1"/>
      <c r="X16" s="1"/>
      <c r="Y16" s="1"/>
      <c r="Z16" s="1"/>
      <c r="AA16" s="1"/>
      <c r="AB16" s="1"/>
      <c r="AC16" s="1"/>
      <c r="AD16" s="1"/>
      <c r="AE16" s="1"/>
      <c r="AF16" s="1"/>
      <c r="AG16" s="1"/>
    </row>
    <row r="17" spans="1:33" x14ac:dyDescent="0.3">
      <c r="A17" s="230" t="s">
        <v>20</v>
      </c>
      <c r="B17" s="231">
        <v>0.95</v>
      </c>
      <c r="C17" s="232" t="s">
        <v>92</v>
      </c>
      <c r="D17" s="232"/>
      <c r="E17" s="233">
        <f>+B17</f>
        <v>0.95</v>
      </c>
      <c r="F17" s="233">
        <f>+E17</f>
        <v>0.95</v>
      </c>
      <c r="G17" s="233">
        <f>+F17</f>
        <v>0.95</v>
      </c>
      <c r="H17" s="234">
        <f>+G17</f>
        <v>0.95</v>
      </c>
      <c r="I17" s="21" t="str">
        <f>+"Total occupancy for residential and commercial units is fixed at "&amp; B17*100 &amp;" percent."</f>
        <v>Total occupancy for residential and commercial units is fixed at 95 percent.</v>
      </c>
      <c r="J17" s="1"/>
      <c r="K17" s="19"/>
      <c r="L17" s="20"/>
      <c r="N17" s="1"/>
      <c r="O17" s="1"/>
      <c r="P17" s="1"/>
      <c r="Q17" s="1"/>
      <c r="R17" s="1"/>
      <c r="S17" s="1"/>
      <c r="T17" s="1"/>
      <c r="U17" s="1"/>
      <c r="V17" s="1"/>
      <c r="W17" s="1"/>
      <c r="X17" s="1"/>
      <c r="Y17" s="1"/>
      <c r="Z17" s="1"/>
      <c r="AA17" s="1"/>
      <c r="AB17" s="1"/>
      <c r="AC17" s="1"/>
      <c r="AD17" s="1"/>
      <c r="AE17" s="1"/>
      <c r="AF17" s="1"/>
      <c r="AG17" s="1"/>
    </row>
    <row r="18" spans="1:33" x14ac:dyDescent="0.3">
      <c r="A18" s="26" t="s">
        <v>21</v>
      </c>
      <c r="B18" s="192">
        <v>12000</v>
      </c>
      <c r="C18" s="27" t="s">
        <v>22</v>
      </c>
      <c r="D18" s="27"/>
      <c r="E18" s="28">
        <f>B18</f>
        <v>12000</v>
      </c>
      <c r="F18" s="28">
        <f>+E18*(1+$B$19)</f>
        <v>13200.000000000002</v>
      </c>
      <c r="G18" s="28">
        <f>+F18*(1+$B$19)</f>
        <v>14520.000000000004</v>
      </c>
      <c r="H18" s="29">
        <f>+G18*(1+$B$19)</f>
        <v>15972.000000000005</v>
      </c>
      <c r="I18" s="30" t="str">
        <f>+"General and administrative fees start at $"&amp;B18&amp;" annually in 2012 and increase by "&amp;B19*100&amp;" percent annually."</f>
        <v>General and administrative fees start at $12000 annually in 2012 and increase by 10 percent annually.</v>
      </c>
      <c r="J18" s="1"/>
      <c r="K18" s="19"/>
      <c r="L18" s="1"/>
      <c r="N18" s="1"/>
      <c r="O18" s="1"/>
      <c r="P18" s="1"/>
      <c r="Q18" s="1"/>
      <c r="R18" s="1"/>
      <c r="S18" s="1"/>
      <c r="T18" s="1"/>
      <c r="U18" s="1"/>
      <c r="V18" s="1"/>
      <c r="W18" s="1"/>
      <c r="X18" s="1"/>
      <c r="Y18" s="1"/>
      <c r="Z18" s="1"/>
      <c r="AA18" s="1"/>
      <c r="AB18" s="1"/>
      <c r="AC18" s="1"/>
      <c r="AD18" s="1"/>
      <c r="AE18" s="1"/>
      <c r="AF18" s="1"/>
      <c r="AG18" s="1"/>
    </row>
    <row r="19" spans="1:33" x14ac:dyDescent="0.3">
      <c r="A19" s="22"/>
      <c r="B19" s="189">
        <v>0.1</v>
      </c>
      <c r="C19" s="23" t="s">
        <v>84</v>
      </c>
      <c r="D19" s="23"/>
      <c r="E19" s="39"/>
      <c r="F19" s="39"/>
      <c r="G19" s="39"/>
      <c r="H19" s="40"/>
      <c r="I19" s="32"/>
      <c r="J19" s="1"/>
      <c r="K19" s="19"/>
      <c r="L19" s="1"/>
      <c r="N19" s="1"/>
      <c r="O19" s="1"/>
      <c r="P19" s="1"/>
      <c r="Q19" s="1"/>
      <c r="R19" s="1"/>
      <c r="S19" s="1"/>
      <c r="T19" s="1"/>
      <c r="U19" s="1"/>
      <c r="V19" s="1"/>
      <c r="W19" s="1"/>
      <c r="X19" s="1"/>
      <c r="Y19" s="1"/>
      <c r="Z19" s="1"/>
      <c r="AA19" s="1"/>
      <c r="AB19" s="1"/>
      <c r="AC19" s="1"/>
      <c r="AD19" s="1"/>
      <c r="AE19" s="1"/>
      <c r="AF19" s="1"/>
      <c r="AG19" s="1"/>
    </row>
    <row r="20" spans="1:33" x14ac:dyDescent="0.3">
      <c r="A20" s="11" t="s">
        <v>85</v>
      </c>
      <c r="B20" s="192">
        <v>4500</v>
      </c>
      <c r="C20" s="27" t="s">
        <v>22</v>
      </c>
      <c r="D20" s="27"/>
      <c r="E20" s="28">
        <f>B20</f>
        <v>4500</v>
      </c>
      <c r="F20" s="28">
        <f>+E20*(1+$B$22)</f>
        <v>4635</v>
      </c>
      <c r="G20" s="28">
        <f>+F20*(1+$B$19)</f>
        <v>5098.5</v>
      </c>
      <c r="H20" s="29">
        <f>+G20*(1+$B$19)</f>
        <v>5608.35</v>
      </c>
      <c r="I20" s="30" t="str">
        <f>+"Maintenance costs are estimated to start at $"&amp;B20&amp;" annually in 2012 and increase by "&amp;B22*100&amp;" percent annually."</f>
        <v>Maintenance costs are estimated to start at $4500 annually in 2012 and increase by 3 percent annually.</v>
      </c>
      <c r="J20" s="1"/>
      <c r="K20" s="19"/>
      <c r="L20" s="1"/>
      <c r="N20" s="1"/>
      <c r="O20" s="1"/>
      <c r="P20" s="1"/>
      <c r="Q20" s="1"/>
      <c r="R20" s="1"/>
      <c r="S20" s="1"/>
      <c r="T20" s="1"/>
      <c r="U20" s="1"/>
      <c r="V20" s="1"/>
      <c r="W20" s="1"/>
      <c r="X20" s="1"/>
      <c r="Y20" s="1"/>
      <c r="Z20" s="1"/>
      <c r="AA20" s="1"/>
      <c r="AB20" s="1"/>
      <c r="AC20" s="1"/>
      <c r="AD20" s="1"/>
      <c r="AE20" s="1"/>
      <c r="AF20" s="1"/>
      <c r="AG20" s="1"/>
    </row>
    <row r="21" spans="1:33" x14ac:dyDescent="0.3">
      <c r="A21" s="11"/>
      <c r="B21" s="190">
        <v>30</v>
      </c>
      <c r="C21" s="17" t="s">
        <v>189</v>
      </c>
      <c r="D21" s="17"/>
      <c r="E21" s="225">
        <f>+E20/$B$21</f>
        <v>150</v>
      </c>
      <c r="F21" s="225">
        <f t="shared" ref="F21" si="7">+F20/$B$21</f>
        <v>154.5</v>
      </c>
      <c r="G21" s="225">
        <f>+G20/$B$21</f>
        <v>169.95</v>
      </c>
      <c r="H21" s="226">
        <f>+H20/$B$21</f>
        <v>186.94500000000002</v>
      </c>
      <c r="I21" s="30"/>
      <c r="J21" s="1"/>
      <c r="K21" s="19"/>
      <c r="L21" s="1"/>
      <c r="N21" s="1"/>
      <c r="O21" s="1"/>
      <c r="P21" s="1"/>
      <c r="Q21" s="1"/>
      <c r="R21" s="1"/>
      <c r="S21" s="1"/>
      <c r="T21" s="1"/>
      <c r="U21" s="1"/>
      <c r="V21" s="1"/>
      <c r="W21" s="1"/>
      <c r="X21" s="1"/>
      <c r="Y21" s="1"/>
      <c r="Z21" s="1"/>
      <c r="AA21" s="1"/>
      <c r="AB21" s="1"/>
      <c r="AC21" s="1"/>
      <c r="AD21" s="1"/>
      <c r="AE21" s="1"/>
      <c r="AF21" s="1"/>
      <c r="AG21" s="1"/>
    </row>
    <row r="22" spans="1:33" x14ac:dyDescent="0.3">
      <c r="A22" s="22"/>
      <c r="B22" s="189">
        <v>0.03</v>
      </c>
      <c r="C22" s="23" t="s">
        <v>84</v>
      </c>
      <c r="D22" s="23"/>
      <c r="E22" s="39"/>
      <c r="F22" s="39"/>
      <c r="G22" s="39"/>
      <c r="H22" s="40"/>
      <c r="I22" s="30"/>
      <c r="J22" s="1"/>
      <c r="K22" s="19"/>
      <c r="L22" s="1"/>
      <c r="N22" s="1"/>
      <c r="O22" s="1"/>
      <c r="P22" s="1"/>
      <c r="Q22" s="1"/>
      <c r="R22" s="1"/>
      <c r="S22" s="1"/>
      <c r="T22" s="1"/>
      <c r="U22" s="1"/>
      <c r="V22" s="1"/>
      <c r="W22" s="1"/>
      <c r="X22" s="1"/>
      <c r="Y22" s="1"/>
      <c r="Z22" s="1"/>
      <c r="AA22" s="1"/>
      <c r="AB22" s="1"/>
      <c r="AC22" s="1"/>
      <c r="AD22" s="1"/>
      <c r="AE22" s="1"/>
      <c r="AF22" s="1"/>
      <c r="AG22" s="1"/>
    </row>
    <row r="23" spans="1:33" x14ac:dyDescent="0.3">
      <c r="A23" s="26" t="s">
        <v>23</v>
      </c>
      <c r="B23" s="188">
        <v>1000</v>
      </c>
      <c r="C23" s="27" t="s">
        <v>22</v>
      </c>
      <c r="D23" s="27"/>
      <c r="E23" s="27">
        <f>+B23</f>
        <v>1000</v>
      </c>
      <c r="F23" s="27">
        <f t="shared" ref="F23:H28" si="8">+E23</f>
        <v>1000</v>
      </c>
      <c r="G23" s="27">
        <f t="shared" si="8"/>
        <v>1000</v>
      </c>
      <c r="H23" s="36">
        <f t="shared" si="8"/>
        <v>1000</v>
      </c>
      <c r="I23" s="30" t="str">
        <f>+"Marketing fees are fixed at $"&amp;B23&amp;" annually."</f>
        <v>Marketing fees are fixed at $1000 annually.</v>
      </c>
      <c r="J23" s="1"/>
      <c r="K23" s="19"/>
      <c r="L23" s="1"/>
      <c r="N23" s="1"/>
      <c r="O23" s="1"/>
      <c r="P23" s="1"/>
      <c r="Q23" s="1"/>
      <c r="R23" s="1"/>
      <c r="S23" s="1"/>
      <c r="T23" s="1"/>
      <c r="U23" s="1"/>
      <c r="V23" s="1"/>
      <c r="W23" s="1"/>
      <c r="X23" s="1"/>
      <c r="Y23" s="1"/>
      <c r="Z23" s="1"/>
      <c r="AA23" s="1"/>
      <c r="AB23" s="1"/>
      <c r="AC23" s="1"/>
      <c r="AD23" s="1"/>
      <c r="AE23" s="1"/>
      <c r="AF23" s="1"/>
      <c r="AG23" s="1"/>
    </row>
    <row r="24" spans="1:33" x14ac:dyDescent="0.3">
      <c r="A24" s="298"/>
      <c r="B24" s="188"/>
      <c r="C24" s="27"/>
      <c r="D24" s="27"/>
      <c r="E24" s="28"/>
      <c r="F24" s="28"/>
      <c r="G24" s="28"/>
      <c r="H24" s="29"/>
      <c r="I24" s="30" t="str">
        <f>+"Accounts receivable have an average collection period of "&amp;B24&amp;" days."</f>
        <v>Accounts receivable have an average collection period of  days.</v>
      </c>
      <c r="J24" s="1"/>
      <c r="K24" s="19"/>
      <c r="L24" s="1"/>
      <c r="N24" s="1"/>
      <c r="O24" s="1"/>
      <c r="P24" s="1"/>
      <c r="Q24" s="1"/>
      <c r="R24" s="1"/>
      <c r="S24" s="1"/>
      <c r="T24" s="1"/>
      <c r="U24" s="1"/>
      <c r="V24" s="1"/>
      <c r="W24" s="1"/>
      <c r="X24" s="1"/>
      <c r="Y24" s="1"/>
      <c r="Z24" s="1"/>
      <c r="AA24" s="1"/>
      <c r="AB24" s="1"/>
      <c r="AC24" s="1"/>
      <c r="AD24" s="1"/>
      <c r="AE24" s="1"/>
      <c r="AF24" s="1"/>
      <c r="AG24" s="1"/>
    </row>
    <row r="25" spans="1:33" x14ac:dyDescent="0.3">
      <c r="A25" s="299"/>
      <c r="B25" s="23"/>
      <c r="C25" s="23"/>
      <c r="D25" s="23"/>
      <c r="E25" s="23"/>
      <c r="F25" s="23"/>
      <c r="G25" s="23"/>
      <c r="H25" s="33"/>
      <c r="I25" s="30"/>
      <c r="J25" s="1"/>
      <c r="K25" s="19"/>
      <c r="L25" s="1"/>
      <c r="N25" s="1"/>
      <c r="O25" s="1"/>
      <c r="P25" s="1"/>
      <c r="Q25" s="1"/>
      <c r="R25" s="1"/>
      <c r="S25" s="1"/>
      <c r="T25" s="1"/>
      <c r="U25" s="1"/>
      <c r="V25" s="1"/>
      <c r="W25" s="1"/>
      <c r="X25" s="1"/>
      <c r="Y25" s="1"/>
      <c r="Z25" s="1"/>
      <c r="AA25" s="1"/>
      <c r="AB25" s="1"/>
      <c r="AC25" s="1"/>
      <c r="AD25" s="1"/>
      <c r="AE25" s="1"/>
      <c r="AF25" s="1"/>
      <c r="AG25" s="1"/>
    </row>
    <row r="26" spans="1:33" x14ac:dyDescent="0.3">
      <c r="A26" s="26" t="s">
        <v>64</v>
      </c>
      <c r="B26" s="27">
        <v>0</v>
      </c>
      <c r="C26" s="27"/>
      <c r="D26" s="27"/>
      <c r="E26" s="27"/>
      <c r="F26" s="27"/>
      <c r="G26" s="27"/>
      <c r="H26" s="36"/>
      <c r="I26" s="30" t="s">
        <v>176</v>
      </c>
      <c r="J26" s="1"/>
      <c r="K26" s="19"/>
      <c r="L26" s="1"/>
      <c r="N26" s="1"/>
      <c r="O26" s="1"/>
      <c r="P26" s="1"/>
      <c r="Q26" s="1"/>
      <c r="R26" s="1"/>
      <c r="S26" s="1"/>
      <c r="T26" s="1"/>
      <c r="U26" s="1"/>
      <c r="V26" s="1"/>
      <c r="W26" s="1"/>
      <c r="X26" s="1"/>
      <c r="Y26" s="1"/>
      <c r="Z26" s="1"/>
      <c r="AA26" s="1"/>
      <c r="AB26" s="1"/>
      <c r="AC26" s="1"/>
      <c r="AD26" s="1"/>
      <c r="AE26" s="1"/>
      <c r="AF26" s="1"/>
      <c r="AG26" s="1"/>
    </row>
    <row r="27" spans="1:33" x14ac:dyDescent="0.3">
      <c r="A27" s="224" t="s">
        <v>187</v>
      </c>
      <c r="B27" s="188">
        <v>100000</v>
      </c>
      <c r="C27" s="27"/>
      <c r="D27" s="27"/>
      <c r="E27" s="27">
        <f>+B27</f>
        <v>100000</v>
      </c>
      <c r="F27" s="27">
        <f>+E27</f>
        <v>100000</v>
      </c>
      <c r="G27" s="27">
        <f>+F27</f>
        <v>100000</v>
      </c>
      <c r="H27" s="29">
        <f>+G27</f>
        <v>100000</v>
      </c>
      <c r="I27" s="30"/>
      <c r="J27" s="1"/>
      <c r="K27" s="19"/>
      <c r="L27" s="1"/>
      <c r="N27" s="1"/>
      <c r="O27" s="1"/>
      <c r="P27" s="1"/>
      <c r="Q27" s="1"/>
      <c r="R27" s="1"/>
      <c r="S27" s="1"/>
      <c r="T27" s="1"/>
      <c r="U27" s="1"/>
      <c r="V27" s="1"/>
      <c r="W27" s="1"/>
      <c r="X27" s="1"/>
      <c r="Y27" s="1"/>
      <c r="Z27" s="1"/>
      <c r="AA27" s="1"/>
      <c r="AB27" s="1"/>
      <c r="AC27" s="1"/>
      <c r="AD27" s="1"/>
      <c r="AE27" s="1"/>
      <c r="AF27" s="1"/>
      <c r="AG27" s="1"/>
    </row>
    <row r="28" spans="1:33" x14ac:dyDescent="0.3">
      <c r="A28" s="11" t="s">
        <v>24</v>
      </c>
      <c r="B28" s="186">
        <f>599000-50000-B27</f>
        <v>449000</v>
      </c>
      <c r="C28" s="17" t="s">
        <v>25</v>
      </c>
      <c r="D28" s="17" t="s">
        <v>26</v>
      </c>
      <c r="E28" s="17">
        <f>+B28*B29</f>
        <v>14966.666666666666</v>
      </c>
      <c r="F28" s="17">
        <f>+E28</f>
        <v>14966.666666666666</v>
      </c>
      <c r="G28" s="17">
        <f>+F28</f>
        <v>14966.666666666666</v>
      </c>
      <c r="H28" s="18">
        <f t="shared" si="8"/>
        <v>14966.666666666666</v>
      </c>
      <c r="I28" s="21" t="str">
        <f>+"The asking price is $599000, we expect with our great negotiating skills we will pay $"&amp;B28&amp;"."</f>
        <v>The asking price is $599000, we expect with our great negotiating skills we will pay $449000.</v>
      </c>
      <c r="J28" s="1"/>
      <c r="K28" s="19"/>
      <c r="L28" s="1"/>
      <c r="N28" s="1"/>
      <c r="O28" s="1"/>
      <c r="P28" s="1"/>
      <c r="Q28" s="1"/>
      <c r="R28" s="1"/>
      <c r="S28" s="1"/>
      <c r="T28" s="1"/>
      <c r="U28" s="1"/>
      <c r="V28" s="1"/>
      <c r="W28" s="1"/>
      <c r="X28" s="1"/>
      <c r="Y28" s="1"/>
      <c r="Z28" s="1"/>
      <c r="AA28" s="1"/>
      <c r="AB28" s="1"/>
      <c r="AC28" s="1"/>
      <c r="AD28" s="1"/>
      <c r="AE28" s="1"/>
      <c r="AF28" s="1"/>
      <c r="AG28" s="1"/>
    </row>
    <row r="29" spans="1:33" x14ac:dyDescent="0.3">
      <c r="A29" s="38"/>
      <c r="B29" s="193">
        <f>1/B30</f>
        <v>3.3333333333333333E-2</v>
      </c>
      <c r="C29" s="17" t="s">
        <v>27</v>
      </c>
      <c r="D29" s="17" t="s">
        <v>28</v>
      </c>
      <c r="E29" s="17">
        <f>+E28</f>
        <v>14966.666666666666</v>
      </c>
      <c r="F29" s="17">
        <f>+F28+E29</f>
        <v>29933.333333333332</v>
      </c>
      <c r="G29" s="17">
        <f>+G28+F29</f>
        <v>44900</v>
      </c>
      <c r="H29" s="18">
        <f>+H28+G29</f>
        <v>59866.666666666664</v>
      </c>
      <c r="I29" s="21" t="str">
        <f>+"Depreciation is straightline over "&amp;B30&amp;" years."</f>
        <v>Depreciation is straightline over 30 years.</v>
      </c>
      <c r="J29" s="1"/>
      <c r="K29" s="19"/>
      <c r="L29" s="1"/>
      <c r="N29" s="1"/>
      <c r="O29" s="1"/>
      <c r="P29" s="1"/>
      <c r="Q29" s="1"/>
      <c r="R29" s="1"/>
      <c r="S29" s="1"/>
      <c r="T29" s="1"/>
      <c r="U29" s="1"/>
      <c r="V29" s="1"/>
      <c r="W29" s="1"/>
      <c r="X29" s="1"/>
      <c r="Y29" s="1"/>
      <c r="Z29" s="1"/>
      <c r="AA29" s="1"/>
      <c r="AB29" s="1"/>
      <c r="AC29" s="1"/>
      <c r="AD29" s="1"/>
      <c r="AE29" s="1"/>
      <c r="AF29" s="1"/>
      <c r="AG29" s="1"/>
    </row>
    <row r="30" spans="1:33" x14ac:dyDescent="0.3">
      <c r="A30" s="38"/>
      <c r="B30" s="186">
        <v>30</v>
      </c>
      <c r="C30" s="17" t="s">
        <v>29</v>
      </c>
      <c r="D30" s="17"/>
      <c r="E30" s="17"/>
      <c r="F30" s="17"/>
      <c r="G30" s="17"/>
      <c r="H30" s="18"/>
      <c r="I30" s="35"/>
      <c r="J30" s="1"/>
      <c r="K30" s="19"/>
      <c r="L30" s="1"/>
      <c r="N30" s="1"/>
      <c r="O30" s="1"/>
      <c r="P30" s="1"/>
      <c r="Q30" s="1"/>
      <c r="R30" s="1"/>
      <c r="S30" s="1"/>
      <c r="T30" s="1"/>
      <c r="U30" s="1"/>
      <c r="V30" s="1"/>
      <c r="W30" s="1"/>
      <c r="X30" s="1"/>
      <c r="Y30" s="1"/>
      <c r="Z30" s="1"/>
      <c r="AA30" s="1"/>
      <c r="AB30" s="1"/>
      <c r="AC30" s="1"/>
      <c r="AD30" s="1"/>
      <c r="AE30" s="1"/>
      <c r="AF30" s="1"/>
      <c r="AG30" s="1"/>
    </row>
    <row r="31" spans="1:33" x14ac:dyDescent="0.3">
      <c r="A31" s="38"/>
      <c r="B31" s="194">
        <v>0.2</v>
      </c>
      <c r="C31" s="17" t="s">
        <v>131</v>
      </c>
      <c r="D31" s="17"/>
      <c r="E31" s="17"/>
      <c r="F31" s="17"/>
      <c r="G31" s="17"/>
      <c r="H31" s="18"/>
      <c r="I31" s="35"/>
      <c r="J31" s="1"/>
      <c r="K31" s="19"/>
      <c r="L31" s="1"/>
      <c r="N31" s="1"/>
      <c r="O31" s="1"/>
      <c r="P31" s="1"/>
      <c r="Q31" s="1"/>
      <c r="R31" s="1"/>
      <c r="S31" s="1"/>
      <c r="T31" s="1"/>
      <c r="U31" s="1"/>
      <c r="V31" s="1"/>
      <c r="W31" s="1"/>
      <c r="X31" s="1"/>
      <c r="Y31" s="1"/>
      <c r="Z31" s="1"/>
      <c r="AA31" s="1"/>
      <c r="AB31" s="1"/>
      <c r="AC31" s="1"/>
      <c r="AD31" s="1"/>
      <c r="AE31" s="1"/>
      <c r="AF31" s="1"/>
      <c r="AG31" s="1"/>
    </row>
    <row r="32" spans="1:33" x14ac:dyDescent="0.3">
      <c r="A32" s="22" t="s">
        <v>30</v>
      </c>
      <c r="B32" s="187">
        <f>+(B27+B28)*B31</f>
        <v>109800</v>
      </c>
      <c r="C32" s="23" t="s">
        <v>31</v>
      </c>
      <c r="D32" s="23"/>
      <c r="E32" s="23">
        <f>+B32</f>
        <v>109800</v>
      </c>
      <c r="F32" s="23">
        <f t="shared" ref="F32:H33" si="9">+E32</f>
        <v>109800</v>
      </c>
      <c r="G32" s="23">
        <f t="shared" si="9"/>
        <v>109800</v>
      </c>
      <c r="H32" s="33">
        <f t="shared" si="9"/>
        <v>109800</v>
      </c>
      <c r="I32" s="32" t="str">
        <f>+"Owners will invest "&amp;B31*100&amp;" percent of the estimated cost."</f>
        <v>Owners will invest 20 percent of the estimated cost.</v>
      </c>
      <c r="J32" s="1"/>
      <c r="K32" s="19"/>
      <c r="L32" s="1"/>
      <c r="N32" s="1"/>
      <c r="O32" s="1"/>
      <c r="P32" s="1"/>
      <c r="Q32" s="1"/>
      <c r="R32" s="1"/>
      <c r="S32" s="1"/>
      <c r="T32" s="1"/>
      <c r="U32" s="1"/>
      <c r="V32" s="1"/>
      <c r="W32" s="1"/>
      <c r="X32" s="1"/>
      <c r="Y32" s="1"/>
      <c r="Z32" s="1"/>
      <c r="AA32" s="1"/>
      <c r="AB32" s="1"/>
      <c r="AC32" s="1"/>
      <c r="AD32" s="1"/>
      <c r="AE32" s="1"/>
      <c r="AF32" s="1"/>
      <c r="AG32" s="1"/>
    </row>
    <row r="33" spans="1:33" x14ac:dyDescent="0.3">
      <c r="A33" s="26" t="s">
        <v>91</v>
      </c>
      <c r="B33" s="188">
        <f>+B27+B28-B32</f>
        <v>439200</v>
      </c>
      <c r="C33" s="27" t="s">
        <v>179</v>
      </c>
      <c r="D33" s="27" t="s">
        <v>89</v>
      </c>
      <c r="E33" s="41">
        <f>+-'Note Table'!J7</f>
        <v>2357.7205682693148</v>
      </c>
      <c r="F33" s="81">
        <f t="shared" si="9"/>
        <v>2357.7205682693148</v>
      </c>
      <c r="G33" s="81">
        <f t="shared" si="9"/>
        <v>2357.7205682693148</v>
      </c>
      <c r="H33" s="82">
        <f t="shared" si="9"/>
        <v>2357.7205682693148</v>
      </c>
      <c r="I33" s="32"/>
      <c r="J33" s="1"/>
      <c r="K33" s="19"/>
      <c r="L33" s="1"/>
      <c r="N33" s="1"/>
      <c r="O33" s="1"/>
      <c r="P33" s="1"/>
      <c r="Q33" s="1"/>
      <c r="R33" s="1"/>
      <c r="S33" s="1"/>
      <c r="T33" s="1"/>
      <c r="U33" s="1"/>
      <c r="V33" s="1"/>
      <c r="W33" s="1"/>
      <c r="X33" s="1"/>
      <c r="Y33" s="1"/>
      <c r="Z33" s="1"/>
      <c r="AA33" s="1"/>
      <c r="AB33" s="1"/>
      <c r="AC33" s="1"/>
      <c r="AD33" s="1"/>
      <c r="AE33" s="1"/>
      <c r="AF33" s="1"/>
      <c r="AG33" s="1"/>
    </row>
    <row r="34" spans="1:33" x14ac:dyDescent="0.3">
      <c r="A34" s="11"/>
      <c r="B34" s="195">
        <f>+'Note Table'!J11</f>
        <v>0.05</v>
      </c>
      <c r="C34" s="17" t="s">
        <v>32</v>
      </c>
      <c r="D34" s="17" t="s">
        <v>90</v>
      </c>
      <c r="E34" s="45">
        <f>+E33*12</f>
        <v>28292.646819231777</v>
      </c>
      <c r="F34" s="45">
        <f t="shared" ref="F34:H34" si="10">+F33*12</f>
        <v>28292.646819231777</v>
      </c>
      <c r="G34" s="45">
        <f t="shared" si="10"/>
        <v>28292.646819231777</v>
      </c>
      <c r="H34" s="199">
        <f t="shared" si="10"/>
        <v>28292.646819231777</v>
      </c>
      <c r="I34" s="30" t="str">
        <f>+"The company will take out a "&amp; B35&amp;" year note payable at "&amp;B34*100&amp;" annual interest. ts amortization table is given in the Spreadsheet under the 'Note Table' tab."</f>
        <v>The company will take out a 30 year note payable at 5 annual interest. ts amortization table is given in the Spreadsheet under the 'Note Table' tab.</v>
      </c>
      <c r="J34" s="1"/>
      <c r="K34" s="19"/>
      <c r="L34" s="1"/>
      <c r="N34" s="1"/>
      <c r="O34" s="1"/>
      <c r="P34" s="1"/>
      <c r="Q34" s="1"/>
      <c r="R34" s="1"/>
      <c r="S34" s="1"/>
      <c r="T34" s="1"/>
      <c r="U34" s="1"/>
      <c r="V34" s="1"/>
      <c r="W34" s="1"/>
      <c r="X34" s="1"/>
      <c r="Y34" s="1"/>
      <c r="Z34" s="1"/>
      <c r="AA34" s="1"/>
      <c r="AB34" s="1"/>
      <c r="AC34" s="1"/>
      <c r="AD34" s="1"/>
      <c r="AE34" s="1"/>
      <c r="AF34" s="1"/>
      <c r="AG34" s="1"/>
    </row>
    <row r="35" spans="1:33" x14ac:dyDescent="0.3">
      <c r="A35" s="22"/>
      <c r="B35" s="187">
        <v>30</v>
      </c>
      <c r="C35" s="23" t="s">
        <v>29</v>
      </c>
      <c r="D35" s="23"/>
      <c r="E35" s="49"/>
      <c r="F35" s="50"/>
      <c r="G35" s="51"/>
      <c r="H35" s="52"/>
      <c r="I35" s="53"/>
      <c r="J35" s="1"/>
      <c r="K35" s="19"/>
      <c r="L35" s="1"/>
      <c r="N35" s="53"/>
      <c r="O35" s="53"/>
      <c r="P35" s="53"/>
      <c r="Q35" s="53"/>
      <c r="R35" s="53"/>
      <c r="S35" s="53"/>
      <c r="T35" s="53"/>
      <c r="U35" s="53"/>
      <c r="V35" s="53"/>
      <c r="W35" s="53"/>
      <c r="X35" s="53"/>
      <c r="Y35" s="53"/>
      <c r="Z35" s="53"/>
      <c r="AA35" s="53"/>
      <c r="AB35" s="53"/>
      <c r="AC35" s="53"/>
      <c r="AD35" s="53"/>
      <c r="AE35" s="1"/>
      <c r="AF35" s="1"/>
      <c r="AG35" s="1"/>
    </row>
    <row r="36" spans="1:33" x14ac:dyDescent="0.3">
      <c r="A36" s="26" t="s">
        <v>33</v>
      </c>
      <c r="B36" s="191">
        <v>7.0000000000000007E-2</v>
      </c>
      <c r="C36" s="27" t="s">
        <v>32</v>
      </c>
      <c r="D36" s="27"/>
      <c r="E36" s="41"/>
      <c r="F36" s="42"/>
      <c r="G36" s="43"/>
      <c r="H36" s="44"/>
      <c r="I36" s="30" t="str">
        <f>+"All DFN will be taken out with  "&amp;B36*100&amp;" percent annual interest."</f>
        <v>All DFN will be taken out with  7 percent annual interest.</v>
      </c>
      <c r="J36" s="1"/>
      <c r="K36" s="19"/>
      <c r="L36" s="1"/>
      <c r="N36" s="53"/>
      <c r="O36" s="53"/>
      <c r="P36" s="53"/>
      <c r="Q36" s="53"/>
      <c r="R36" s="53"/>
      <c r="S36" s="53"/>
      <c r="T36" s="53"/>
      <c r="U36" s="53"/>
      <c r="V36" s="53"/>
      <c r="W36" s="53"/>
      <c r="X36" s="53"/>
      <c r="Y36" s="53"/>
      <c r="Z36" s="53"/>
      <c r="AA36" s="53"/>
      <c r="AB36" s="53"/>
      <c r="AC36" s="53"/>
      <c r="AD36" s="53"/>
      <c r="AE36" s="1"/>
      <c r="AF36" s="1"/>
      <c r="AG36" s="1"/>
    </row>
    <row r="37" spans="1:33" x14ac:dyDescent="0.3">
      <c r="A37" s="26" t="s">
        <v>183</v>
      </c>
      <c r="B37" s="188"/>
      <c r="C37" s="27"/>
      <c r="D37" s="27"/>
      <c r="E37" s="41"/>
      <c r="F37" s="42"/>
      <c r="G37" s="43"/>
      <c r="H37" s="44"/>
      <c r="I37" s="30"/>
      <c r="J37" s="1"/>
      <c r="K37" s="19"/>
      <c r="L37" s="1"/>
      <c r="N37" s="53"/>
      <c r="O37" s="53"/>
      <c r="P37" s="53"/>
      <c r="Q37" s="53"/>
      <c r="R37" s="53"/>
      <c r="S37" s="53"/>
      <c r="T37" s="53"/>
      <c r="U37" s="53"/>
      <c r="V37" s="53"/>
      <c r="W37" s="53"/>
      <c r="X37" s="53"/>
      <c r="Y37" s="53"/>
      <c r="Z37" s="53"/>
      <c r="AA37" s="53"/>
      <c r="AB37" s="53"/>
      <c r="AC37" s="53"/>
      <c r="AD37" s="53"/>
      <c r="AE37" s="1"/>
      <c r="AF37" s="1"/>
      <c r="AG37" s="1"/>
    </row>
    <row r="38" spans="1:33" x14ac:dyDescent="0.3">
      <c r="A38" s="11"/>
      <c r="B38" s="189"/>
      <c r="C38" s="17"/>
      <c r="D38" s="17"/>
      <c r="E38" s="45"/>
      <c r="F38" s="46"/>
      <c r="G38" s="47"/>
      <c r="H38" s="48"/>
      <c r="I38" s="30"/>
      <c r="J38" s="1"/>
      <c r="K38" s="19"/>
      <c r="L38" s="1"/>
      <c r="N38" s="53"/>
      <c r="O38" s="53"/>
      <c r="P38" s="53"/>
      <c r="Q38" s="53"/>
      <c r="R38" s="53"/>
      <c r="S38" s="53"/>
      <c r="T38" s="53"/>
      <c r="U38" s="53"/>
      <c r="V38" s="53"/>
      <c r="W38" s="53"/>
      <c r="X38" s="53"/>
      <c r="Y38" s="53"/>
      <c r="Z38" s="53"/>
      <c r="AA38" s="53"/>
      <c r="AB38" s="53"/>
      <c r="AC38" s="53"/>
      <c r="AD38" s="53"/>
      <c r="AE38" s="1"/>
      <c r="AF38" s="1"/>
      <c r="AG38" s="1"/>
    </row>
    <row r="39" spans="1:33" s="203" customFormat="1" ht="16.5" customHeight="1" x14ac:dyDescent="0.3">
      <c r="A39" s="11" t="s">
        <v>182</v>
      </c>
      <c r="B39" s="189"/>
      <c r="C39" s="17"/>
      <c r="D39" s="17"/>
      <c r="E39" s="45"/>
      <c r="F39" s="46"/>
      <c r="G39" s="47"/>
      <c r="H39" s="48"/>
      <c r="I39" s="300" t="s">
        <v>186</v>
      </c>
      <c r="J39" s="301"/>
      <c r="K39" s="301"/>
      <c r="L39" s="301"/>
      <c r="M39" s="301"/>
      <c r="N39" s="301"/>
      <c r="O39" s="301"/>
      <c r="P39" s="301"/>
      <c r="Q39" s="204"/>
      <c r="R39" s="204"/>
      <c r="S39" s="204"/>
      <c r="T39" s="204"/>
      <c r="U39" s="204"/>
      <c r="V39" s="204"/>
      <c r="W39" s="204"/>
      <c r="X39" s="204"/>
      <c r="Y39" s="204"/>
      <c r="Z39" s="204"/>
      <c r="AA39" s="204"/>
      <c r="AB39" s="204"/>
      <c r="AC39" s="204"/>
      <c r="AD39" s="204"/>
      <c r="AE39" s="47"/>
      <c r="AF39" s="47"/>
      <c r="AG39" s="47"/>
    </row>
    <row r="40" spans="1:33" s="203" customFormat="1" x14ac:dyDescent="0.3">
      <c r="A40" s="11"/>
      <c r="B40" s="189"/>
      <c r="C40" s="17"/>
      <c r="D40" s="17"/>
      <c r="E40" s="45"/>
      <c r="F40" s="46"/>
      <c r="G40" s="47"/>
      <c r="H40" s="48"/>
      <c r="I40" s="300"/>
      <c r="J40" s="301"/>
      <c r="K40" s="301"/>
      <c r="L40" s="301"/>
      <c r="M40" s="301"/>
      <c r="N40" s="301"/>
      <c r="O40" s="301"/>
      <c r="P40" s="301"/>
      <c r="Q40" s="204"/>
      <c r="R40" s="204"/>
      <c r="S40" s="204"/>
      <c r="T40" s="204"/>
      <c r="U40" s="204"/>
      <c r="V40" s="204"/>
      <c r="W40" s="204"/>
      <c r="X40" s="204"/>
      <c r="Y40" s="204"/>
      <c r="Z40" s="204"/>
      <c r="AA40" s="204"/>
      <c r="AB40" s="204"/>
      <c r="AC40" s="204"/>
      <c r="AD40" s="204"/>
      <c r="AE40" s="47"/>
      <c r="AF40" s="47"/>
      <c r="AG40" s="47"/>
    </row>
    <row r="41" spans="1:33" s="203" customFormat="1" x14ac:dyDescent="0.3">
      <c r="A41" s="11"/>
      <c r="B41" s="189"/>
      <c r="C41" s="17"/>
      <c r="D41" s="17"/>
      <c r="E41" s="45"/>
      <c r="F41" s="46"/>
      <c r="G41" s="47"/>
      <c r="H41" s="48"/>
      <c r="I41" s="300"/>
      <c r="J41" s="301"/>
      <c r="K41" s="301"/>
      <c r="L41" s="301"/>
      <c r="M41" s="301"/>
      <c r="N41" s="301"/>
      <c r="O41" s="301"/>
      <c r="P41" s="301"/>
      <c r="Q41" s="204"/>
      <c r="R41" s="204"/>
      <c r="S41" s="204"/>
      <c r="T41" s="204"/>
      <c r="U41" s="204"/>
      <c r="V41" s="204"/>
      <c r="W41" s="204"/>
      <c r="X41" s="204"/>
      <c r="Y41" s="204"/>
      <c r="Z41" s="204"/>
      <c r="AA41" s="204"/>
      <c r="AB41" s="204"/>
      <c r="AC41" s="204"/>
      <c r="AD41" s="204"/>
      <c r="AE41" s="47"/>
      <c r="AF41" s="47"/>
      <c r="AG41" s="47"/>
    </row>
    <row r="42" spans="1:33" s="203" customFormat="1" x14ac:dyDescent="0.3">
      <c r="A42" s="11" t="s">
        <v>181</v>
      </c>
      <c r="B42" s="186"/>
      <c r="C42" s="17"/>
      <c r="D42" s="17"/>
      <c r="E42" s="45"/>
      <c r="F42" s="46"/>
      <c r="G42" s="47"/>
      <c r="H42" s="48"/>
      <c r="I42" s="201"/>
      <c r="J42" s="47"/>
      <c r="K42" s="202"/>
      <c r="L42" s="47"/>
      <c r="N42" s="204"/>
      <c r="O42" s="204"/>
      <c r="P42" s="204"/>
      <c r="Q42" s="204"/>
      <c r="R42" s="204"/>
      <c r="S42" s="204"/>
      <c r="T42" s="204"/>
      <c r="U42" s="204"/>
      <c r="V42" s="204"/>
      <c r="W42" s="204"/>
      <c r="X42" s="204"/>
      <c r="Y42" s="204"/>
      <c r="Z42" s="204"/>
      <c r="AA42" s="204"/>
      <c r="AB42" s="204"/>
      <c r="AC42" s="204"/>
      <c r="AD42" s="204"/>
      <c r="AE42" s="47"/>
      <c r="AF42" s="47"/>
      <c r="AG42" s="47"/>
    </row>
    <row r="43" spans="1:33" s="203" customFormat="1" x14ac:dyDescent="0.3">
      <c r="A43" s="11"/>
      <c r="B43" s="189"/>
      <c r="C43" s="17"/>
      <c r="D43" s="17"/>
      <c r="E43" s="45"/>
      <c r="F43" s="46"/>
      <c r="G43" s="47"/>
      <c r="H43" s="48"/>
      <c r="I43" s="201"/>
      <c r="J43" s="47"/>
      <c r="K43" s="202"/>
      <c r="L43" s="47"/>
      <c r="N43" s="204"/>
      <c r="O43" s="204"/>
      <c r="P43" s="204"/>
      <c r="Q43" s="204"/>
      <c r="R43" s="204"/>
      <c r="S43" s="204"/>
      <c r="T43" s="204"/>
      <c r="U43" s="204"/>
      <c r="V43" s="204"/>
      <c r="W43" s="204"/>
      <c r="X43" s="204"/>
      <c r="Y43" s="204"/>
      <c r="Z43" s="204"/>
      <c r="AA43" s="204"/>
      <c r="AB43" s="204"/>
      <c r="AC43" s="204"/>
      <c r="AD43" s="204"/>
      <c r="AE43" s="47"/>
      <c r="AF43" s="47"/>
      <c r="AG43" s="47"/>
    </row>
    <row r="44" spans="1:33" s="203" customFormat="1" x14ac:dyDescent="0.3">
      <c r="A44" s="22"/>
      <c r="B44" s="205"/>
      <c r="C44" s="23"/>
      <c r="D44" s="23"/>
      <c r="E44" s="49"/>
      <c r="F44" s="50"/>
      <c r="G44" s="51"/>
      <c r="H44" s="52"/>
      <c r="I44" s="201"/>
      <c r="J44" s="47"/>
      <c r="K44" s="202"/>
      <c r="L44" s="47"/>
      <c r="N44" s="204"/>
      <c r="O44" s="204"/>
      <c r="P44" s="204"/>
      <c r="Q44" s="204"/>
      <c r="R44" s="204"/>
      <c r="S44" s="204"/>
      <c r="T44" s="204"/>
      <c r="U44" s="204"/>
      <c r="V44" s="204"/>
      <c r="W44" s="204"/>
      <c r="X44" s="204"/>
      <c r="Y44" s="204"/>
      <c r="Z44" s="204"/>
      <c r="AA44" s="204"/>
      <c r="AB44" s="204"/>
      <c r="AC44" s="204"/>
      <c r="AD44" s="204"/>
      <c r="AE44" s="47"/>
      <c r="AF44" s="47"/>
      <c r="AG44" s="47"/>
    </row>
    <row r="45" spans="1:33" s="203" customFormat="1" x14ac:dyDescent="0.3">
      <c r="A45" s="11" t="s">
        <v>95</v>
      </c>
      <c r="B45" s="189">
        <v>4.3E-3</v>
      </c>
      <c r="C45" s="17" t="s">
        <v>128</v>
      </c>
      <c r="D45" s="17" t="s">
        <v>97</v>
      </c>
      <c r="E45" s="228">
        <f>+B46*B45</f>
        <v>2360.6999999999998</v>
      </c>
      <c r="F45" s="28">
        <f>+E45*(1+$B$47)</f>
        <v>2372.5034999999993</v>
      </c>
      <c r="G45" s="28">
        <f>+F45*(1+$B$47)</f>
        <v>2384.3660174999991</v>
      </c>
      <c r="H45" s="227">
        <f>+G45*(1+$B$47)</f>
        <v>2396.2878475874986</v>
      </c>
      <c r="I45" s="206"/>
      <c r="J45" s="47"/>
      <c r="K45" s="202"/>
      <c r="L45" s="47"/>
      <c r="N45" s="204"/>
      <c r="O45" s="204"/>
      <c r="P45" s="204"/>
      <c r="Q45" s="204"/>
      <c r="R45" s="204"/>
      <c r="S45" s="204"/>
      <c r="T45" s="204"/>
      <c r="U45" s="204"/>
      <c r="V45" s="204"/>
      <c r="W45" s="204"/>
      <c r="X45" s="204"/>
      <c r="Y45" s="204"/>
      <c r="Z45" s="204"/>
      <c r="AA45" s="204"/>
      <c r="AB45" s="204"/>
      <c r="AC45" s="204"/>
      <c r="AD45" s="204"/>
      <c r="AE45" s="47"/>
      <c r="AF45" s="47"/>
      <c r="AG45" s="47"/>
    </row>
    <row r="46" spans="1:33" s="203" customFormat="1" x14ac:dyDescent="0.3">
      <c r="A46" s="11"/>
      <c r="B46" s="83">
        <f>+B28+B27</f>
        <v>549000</v>
      </c>
      <c r="C46" s="17" t="s">
        <v>96</v>
      </c>
      <c r="D46" s="17"/>
      <c r="E46" s="45"/>
      <c r="F46" s="46"/>
      <c r="G46" s="47"/>
      <c r="H46" s="48"/>
      <c r="I46" s="207" t="str">
        <f>+"The property taxes are "&amp;B45*100&amp;" percent annually."</f>
        <v>The property taxes are 0.43 percent annually.</v>
      </c>
      <c r="J46" s="47"/>
      <c r="K46" s="202"/>
      <c r="L46" s="47"/>
      <c r="N46" s="204"/>
      <c r="O46" s="204"/>
      <c r="P46" s="204"/>
      <c r="Q46" s="204"/>
      <c r="R46" s="204"/>
      <c r="S46" s="204"/>
      <c r="T46" s="204"/>
      <c r="U46" s="204"/>
      <c r="V46" s="204"/>
      <c r="W46" s="204"/>
      <c r="X46" s="204"/>
      <c r="Y46" s="204"/>
      <c r="Z46" s="204"/>
      <c r="AA46" s="204"/>
      <c r="AB46" s="204"/>
      <c r="AC46" s="204"/>
      <c r="AD46" s="204"/>
      <c r="AE46" s="47"/>
      <c r="AF46" s="47"/>
      <c r="AG46" s="47"/>
    </row>
    <row r="47" spans="1:33" x14ac:dyDescent="0.3">
      <c r="A47" s="22"/>
      <c r="B47" s="205">
        <v>5.0000000000000001E-3</v>
      </c>
      <c r="C47" s="23" t="s">
        <v>190</v>
      </c>
      <c r="D47" s="23"/>
      <c r="E47" s="49"/>
      <c r="F47" s="50"/>
      <c r="G47" s="51"/>
      <c r="H47" s="52"/>
      <c r="I47" s="207" t="str">
        <f>+"The property taxes are expected to increase "&amp;B47*100&amp;" percent annually from its base rate of the prior year."</f>
        <v>The property taxes are expected to increase 0.5 percent annually from its base rate of the prior year.</v>
      </c>
      <c r="J47" s="1"/>
      <c r="K47" s="19"/>
      <c r="L47" s="1"/>
      <c r="N47" s="53"/>
      <c r="O47" s="53"/>
      <c r="P47" s="53"/>
      <c r="Q47" s="53"/>
      <c r="R47" s="53"/>
      <c r="S47" s="53"/>
      <c r="T47" s="53"/>
      <c r="U47" s="53"/>
      <c r="V47" s="53"/>
      <c r="W47" s="53"/>
      <c r="X47" s="53"/>
      <c r="Y47" s="53"/>
      <c r="Z47" s="53"/>
      <c r="AA47" s="53"/>
      <c r="AB47" s="53"/>
      <c r="AC47" s="53"/>
      <c r="AD47" s="53"/>
      <c r="AE47" s="1"/>
      <c r="AF47" s="1"/>
      <c r="AG47" s="1"/>
    </row>
    <row r="48" spans="1:33" x14ac:dyDescent="0.3">
      <c r="A48" s="11" t="s">
        <v>34</v>
      </c>
      <c r="B48" s="194">
        <v>0.17</v>
      </c>
      <c r="C48" s="17" t="s">
        <v>35</v>
      </c>
      <c r="D48" s="17"/>
      <c r="E48" s="45"/>
      <c r="F48" s="46"/>
      <c r="G48" s="47"/>
      <c r="H48" s="48"/>
      <c r="I48" s="21" t="str">
        <f>+"The income taxes on rental properties are "&amp;B48*100&amp;" percent annually."</f>
        <v>The income taxes on rental properties are 17 percent annually.</v>
      </c>
      <c r="J48" s="1"/>
      <c r="K48" s="19"/>
      <c r="L48" s="1"/>
      <c r="N48" s="53"/>
      <c r="O48" s="53"/>
      <c r="P48" s="53"/>
      <c r="Q48" s="53"/>
      <c r="R48" s="53"/>
      <c r="S48" s="53"/>
      <c r="T48" s="53"/>
      <c r="U48" s="53"/>
      <c r="V48" s="53"/>
      <c r="W48" s="53"/>
      <c r="X48" s="53"/>
      <c r="Y48" s="53"/>
      <c r="Z48" s="53"/>
      <c r="AA48" s="53"/>
      <c r="AB48" s="53"/>
      <c r="AC48" s="53"/>
      <c r="AD48" s="53"/>
      <c r="AE48" s="1"/>
      <c r="AF48" s="1"/>
      <c r="AG48" s="1"/>
    </row>
    <row r="49" spans="1:33" x14ac:dyDescent="0.3">
      <c r="A49" s="11"/>
      <c r="B49" s="196">
        <v>41274</v>
      </c>
      <c r="C49" s="17" t="s">
        <v>36</v>
      </c>
      <c r="D49" s="17"/>
      <c r="E49" s="45"/>
      <c r="F49" s="46"/>
      <c r="G49" s="47"/>
      <c r="H49" s="48"/>
      <c r="I49" s="53"/>
      <c r="J49" s="1"/>
      <c r="K49" s="19"/>
      <c r="L49" s="1"/>
      <c r="N49" s="53"/>
      <c r="O49" s="53"/>
      <c r="P49" s="53"/>
      <c r="Q49" s="53"/>
      <c r="R49" s="53"/>
      <c r="S49" s="53"/>
      <c r="T49" s="53"/>
      <c r="U49" s="53"/>
      <c r="V49" s="53"/>
      <c r="W49" s="53"/>
      <c r="X49" s="53"/>
      <c r="Y49" s="53"/>
      <c r="Z49" s="53"/>
      <c r="AA49" s="53"/>
      <c r="AB49" s="53"/>
      <c r="AC49" s="53"/>
      <c r="AD49" s="53"/>
      <c r="AE49" s="1"/>
      <c r="AF49" s="1"/>
      <c r="AG49" s="1"/>
    </row>
    <row r="50" spans="1:33" x14ac:dyDescent="0.3">
      <c r="A50" s="34"/>
      <c r="B50" s="197">
        <v>41379</v>
      </c>
      <c r="C50" s="23" t="s">
        <v>37</v>
      </c>
      <c r="D50" s="23"/>
      <c r="E50" s="49"/>
      <c r="F50" s="50"/>
      <c r="G50" s="51"/>
      <c r="H50" s="52"/>
      <c r="I50" s="30" t="s">
        <v>132</v>
      </c>
      <c r="J50" s="1"/>
      <c r="K50" s="19"/>
      <c r="L50" s="1"/>
      <c r="N50" s="1"/>
      <c r="O50" s="1"/>
      <c r="P50" s="1"/>
      <c r="Q50" s="1"/>
      <c r="R50" s="1"/>
      <c r="S50" s="1"/>
      <c r="T50" s="1"/>
      <c r="U50" s="1"/>
      <c r="V50" s="1"/>
      <c r="W50" s="1"/>
      <c r="X50" s="1"/>
      <c r="Y50" s="1"/>
      <c r="Z50" s="1"/>
      <c r="AA50" s="1"/>
      <c r="AB50" s="1"/>
      <c r="AC50" s="1"/>
      <c r="AD50" s="1"/>
      <c r="AE50" s="1"/>
      <c r="AF50" s="1"/>
      <c r="AG50" s="1"/>
    </row>
    <row r="51" spans="1:33" ht="17.25" thickBot="1" x14ac:dyDescent="0.35">
      <c r="A51" s="54" t="s">
        <v>38</v>
      </c>
      <c r="B51" s="198">
        <v>2000</v>
      </c>
      <c r="C51" s="55"/>
      <c r="D51" s="56"/>
      <c r="E51" s="55"/>
      <c r="F51" s="57"/>
      <c r="G51" s="58"/>
      <c r="H51" s="59"/>
      <c r="I51" s="30" t="str">
        <f>+"At the end of each year, the complex is required to have at least (meaning it can have more) $"&amp;B51&amp;" in cash"</f>
        <v>At the end of each year, the complex is required to have at least (meaning it can have more) $2000 in cash</v>
      </c>
      <c r="J51" s="1"/>
      <c r="K51" s="19"/>
      <c r="L51" s="1"/>
      <c r="N51" s="1"/>
      <c r="O51" s="1"/>
      <c r="P51" s="1"/>
      <c r="Q51" s="1"/>
      <c r="R51" s="1"/>
      <c r="S51" s="1"/>
      <c r="T51" s="1"/>
      <c r="U51" s="1"/>
      <c r="V51" s="1"/>
      <c r="W51" s="1"/>
      <c r="X51" s="1"/>
      <c r="Y51" s="1"/>
      <c r="Z51" s="1"/>
      <c r="AA51" s="1"/>
      <c r="AB51" s="1"/>
      <c r="AC51" s="1"/>
      <c r="AD51" s="1"/>
      <c r="AE51" s="1"/>
      <c r="AF51" s="1"/>
      <c r="AG51" s="1"/>
    </row>
    <row r="52" spans="1:33" x14ac:dyDescent="0.3">
      <c r="A52" s="292" t="s">
        <v>39</v>
      </c>
      <c r="B52" s="293"/>
      <c r="C52" s="293"/>
      <c r="D52" s="293"/>
      <c r="E52" s="293"/>
      <c r="F52" s="293"/>
      <c r="G52" s="293"/>
      <c r="H52" s="294"/>
      <c r="I52" s="1"/>
      <c r="J52" s="1"/>
      <c r="K52" s="19"/>
      <c r="L52" s="1"/>
      <c r="M52" s="32"/>
      <c r="N52" s="1"/>
      <c r="O52" s="1"/>
      <c r="P52" s="1"/>
      <c r="Q52" s="1"/>
      <c r="R52" s="1"/>
      <c r="S52" s="1"/>
      <c r="T52" s="1"/>
      <c r="U52" s="1"/>
      <c r="V52" s="1"/>
      <c r="W52" s="1"/>
      <c r="X52" s="1"/>
      <c r="Y52" s="1"/>
      <c r="Z52" s="1"/>
      <c r="AA52" s="1"/>
      <c r="AB52" s="1"/>
      <c r="AC52" s="1"/>
      <c r="AD52" s="1"/>
      <c r="AE52" s="1"/>
      <c r="AF52" s="1"/>
      <c r="AG52" s="1"/>
    </row>
    <row r="53" spans="1:33" ht="17.25" thickBot="1" x14ac:dyDescent="0.35">
      <c r="A53" s="295"/>
      <c r="B53" s="296"/>
      <c r="C53" s="296"/>
      <c r="D53" s="296"/>
      <c r="E53" s="296"/>
      <c r="F53" s="296"/>
      <c r="G53" s="296"/>
      <c r="H53" s="297"/>
      <c r="I53" s="1"/>
      <c r="J53" s="1"/>
      <c r="K53" s="19"/>
      <c r="L53" s="1"/>
      <c r="N53" s="1"/>
      <c r="O53" s="1"/>
      <c r="P53" s="1"/>
      <c r="Q53" s="1"/>
      <c r="R53" s="1"/>
      <c r="S53" s="1"/>
      <c r="T53" s="1"/>
      <c r="U53" s="1"/>
      <c r="V53" s="1"/>
      <c r="W53" s="1"/>
      <c r="X53" s="1"/>
      <c r="Y53" s="1"/>
      <c r="Z53" s="1"/>
      <c r="AA53" s="1"/>
      <c r="AB53" s="1"/>
      <c r="AC53" s="1"/>
      <c r="AD53" s="1"/>
      <c r="AE53" s="1"/>
      <c r="AF53" s="1"/>
      <c r="AG53" s="1"/>
    </row>
    <row r="54" spans="1:33" x14ac:dyDescent="0.3">
      <c r="A54" s="60"/>
      <c r="B54" s="5"/>
      <c r="C54" s="5"/>
      <c r="D54" s="5"/>
      <c r="E54" s="61">
        <f>+D61</f>
        <v>2012</v>
      </c>
      <c r="F54" s="61">
        <f>+E61</f>
        <v>2013</v>
      </c>
      <c r="G54" s="61">
        <f>+F61</f>
        <v>2014</v>
      </c>
      <c r="H54" s="62">
        <f>+G61</f>
        <v>2015</v>
      </c>
      <c r="I54" s="1"/>
      <c r="J54" s="1"/>
      <c r="K54" s="1"/>
      <c r="L54" s="1"/>
      <c r="M54" s="32"/>
      <c r="N54" s="1"/>
      <c r="O54" s="1"/>
      <c r="P54" s="1"/>
      <c r="Q54" s="1"/>
      <c r="R54" s="1"/>
      <c r="S54" s="1"/>
      <c r="T54" s="1"/>
      <c r="U54" s="1"/>
      <c r="V54" s="1"/>
      <c r="W54" s="1"/>
      <c r="X54" s="1"/>
      <c r="Y54" s="1"/>
      <c r="Z54" s="1"/>
      <c r="AA54" s="1"/>
      <c r="AB54" s="1"/>
      <c r="AC54" s="1"/>
      <c r="AD54" s="1"/>
      <c r="AE54" s="1"/>
      <c r="AF54" s="1"/>
      <c r="AG54" s="1"/>
    </row>
    <row r="55" spans="1:33" x14ac:dyDescent="0.3">
      <c r="A55" s="38"/>
      <c r="B55" s="47"/>
      <c r="C55" s="47"/>
      <c r="D55" s="63" t="s">
        <v>40</v>
      </c>
      <c r="E55" s="17">
        <f>+D91/D105</f>
        <v>4.3195119922406464</v>
      </c>
      <c r="F55" s="17">
        <f>+E91/E105</f>
        <v>7.5459461497147773</v>
      </c>
      <c r="G55" s="17">
        <f>+F91/F105</f>
        <v>10.758562420070241</v>
      </c>
      <c r="H55" s="18">
        <f>+G91/G105</f>
        <v>13.915817842472856</v>
      </c>
      <c r="I55" s="1"/>
      <c r="J55" s="1"/>
      <c r="K55" s="1"/>
      <c r="L55" s="1"/>
      <c r="M55" s="32"/>
      <c r="N55" s="1"/>
      <c r="O55" s="1"/>
      <c r="P55" s="1"/>
      <c r="Q55" s="1"/>
      <c r="R55" s="1"/>
      <c r="S55" s="1"/>
      <c r="T55" s="1"/>
      <c r="U55" s="1"/>
      <c r="V55" s="1"/>
      <c r="W55" s="1"/>
      <c r="X55" s="1"/>
      <c r="Y55" s="1"/>
      <c r="Z55" s="1"/>
      <c r="AA55" s="1"/>
      <c r="AB55" s="1"/>
      <c r="AC55" s="1"/>
      <c r="AD55" s="1"/>
      <c r="AE55" s="1"/>
      <c r="AF55" s="1"/>
      <c r="AG55" s="1"/>
    </row>
    <row r="56" spans="1:33" x14ac:dyDescent="0.3">
      <c r="A56" s="38"/>
      <c r="B56" s="47"/>
      <c r="C56" s="47"/>
      <c r="D56" s="63" t="s">
        <v>41</v>
      </c>
      <c r="E56" s="17">
        <f>+D112/(+D114+D115)</f>
        <v>3.3239664452342979</v>
      </c>
      <c r="F56" s="17">
        <f>+E112/(+E114+E115)</f>
        <v>2.7560013103974708</v>
      </c>
      <c r="G56" s="17">
        <f t="shared" ref="G56:H56" si="11">+F112/(+F114+F115)</f>
        <v>2.3280924187104568</v>
      </c>
      <c r="H56" s="18">
        <f t="shared" si="11"/>
        <v>1.9956808874905463</v>
      </c>
      <c r="I56" s="1"/>
      <c r="J56" s="1"/>
      <c r="K56" s="1"/>
      <c r="L56" s="1"/>
      <c r="M56" s="32"/>
      <c r="N56" s="1"/>
      <c r="O56" s="1"/>
      <c r="P56" s="1"/>
      <c r="Q56" s="1"/>
      <c r="R56" s="1"/>
      <c r="S56" s="1"/>
      <c r="T56" s="1"/>
      <c r="U56" s="1"/>
      <c r="V56" s="1"/>
      <c r="W56" s="1"/>
      <c r="X56" s="1"/>
      <c r="Y56" s="1"/>
      <c r="Z56" s="1"/>
      <c r="AA56" s="1"/>
      <c r="AB56" s="1"/>
      <c r="AC56" s="1"/>
      <c r="AD56" s="1"/>
      <c r="AE56" s="1"/>
      <c r="AF56" s="1"/>
      <c r="AG56" s="1"/>
    </row>
    <row r="57" spans="1:33" x14ac:dyDescent="0.3">
      <c r="A57" s="38"/>
      <c r="B57" s="47"/>
      <c r="C57" s="47"/>
      <c r="D57" s="63" t="s">
        <v>42</v>
      </c>
      <c r="E57" s="31">
        <f>+(D83/D98)</f>
        <v>4.0426323489138535E-2</v>
      </c>
      <c r="F57" s="31">
        <f>+(E83/E98)</f>
        <v>4.2226817306422443E-2</v>
      </c>
      <c r="G57" s="31">
        <f>+(F83/F98)</f>
        <v>4.2536263337546343E-2</v>
      </c>
      <c r="H57" s="64">
        <f>+(G83/G98)</f>
        <v>4.268343086385884E-2</v>
      </c>
      <c r="I57" s="1"/>
      <c r="J57" s="1"/>
      <c r="K57" s="1"/>
      <c r="L57" s="1"/>
      <c r="M57" s="32"/>
      <c r="N57" s="1"/>
      <c r="O57" s="1"/>
      <c r="P57" s="1"/>
      <c r="Q57" s="1"/>
      <c r="R57" s="1"/>
      <c r="S57" s="1"/>
      <c r="T57" s="1"/>
      <c r="U57" s="1"/>
      <c r="V57" s="1"/>
      <c r="W57" s="1"/>
      <c r="X57" s="1"/>
      <c r="Y57" s="1"/>
      <c r="Z57" s="1"/>
      <c r="AA57" s="1"/>
      <c r="AB57" s="1"/>
      <c r="AC57" s="1"/>
      <c r="AD57" s="1"/>
      <c r="AE57" s="1"/>
      <c r="AF57" s="1"/>
      <c r="AG57" s="1"/>
    </row>
    <row r="58" spans="1:33" ht="17.25" thickBot="1" x14ac:dyDescent="0.35">
      <c r="A58" s="65"/>
      <c r="B58" s="58"/>
      <c r="C58" s="58"/>
      <c r="D58" s="66" t="s">
        <v>43</v>
      </c>
      <c r="E58" s="67">
        <f>+D83/(D114+D115)</f>
        <v>0.17480206627122213</v>
      </c>
      <c r="F58" s="67">
        <f>+E83/(E114+E115)</f>
        <v>0.15860398113683741</v>
      </c>
      <c r="G58" s="67">
        <f>+F83/(F114+F115)</f>
        <v>0.1415646155339596</v>
      </c>
      <c r="H58" s="68">
        <f>+G83/(G114+G115)</f>
        <v>0.12786593805138607</v>
      </c>
      <c r="I58" s="17"/>
      <c r="J58" s="1"/>
      <c r="K58" s="1"/>
      <c r="L58" s="1"/>
      <c r="M58" s="32"/>
      <c r="N58" s="1"/>
      <c r="O58" s="1"/>
      <c r="P58" s="1"/>
      <c r="Q58" s="1"/>
      <c r="R58" s="1"/>
      <c r="S58" s="1"/>
      <c r="T58" s="1"/>
      <c r="U58" s="1"/>
      <c r="V58" s="1"/>
      <c r="W58" s="1"/>
      <c r="X58" s="1"/>
      <c r="Y58" s="1"/>
      <c r="Z58" s="1"/>
      <c r="AA58" s="1"/>
      <c r="AB58" s="1"/>
      <c r="AC58" s="1"/>
      <c r="AD58" s="1"/>
      <c r="AE58" s="1"/>
      <c r="AF58" s="1"/>
      <c r="AG58" s="1"/>
    </row>
    <row r="59" spans="1:33" x14ac:dyDescent="0.3">
      <c r="A59" s="69" t="s">
        <v>133</v>
      </c>
      <c r="B59" s="1"/>
      <c r="C59" s="1"/>
      <c r="D59" s="1"/>
      <c r="E59" s="1"/>
      <c r="F59" s="1"/>
      <c r="G59" s="1"/>
      <c r="H59" s="1"/>
      <c r="I59" s="1"/>
      <c r="J59" s="17"/>
      <c r="K59" s="1"/>
      <c r="L59" s="1"/>
      <c r="M59" s="32"/>
      <c r="N59" s="1"/>
      <c r="O59" s="1"/>
      <c r="P59" s="1"/>
      <c r="Q59" s="1"/>
      <c r="R59" s="1"/>
      <c r="S59" s="1"/>
      <c r="T59" s="1"/>
      <c r="U59" s="1"/>
      <c r="V59" s="1"/>
      <c r="W59" s="1"/>
      <c r="X59" s="1"/>
      <c r="Y59" s="1"/>
      <c r="Z59" s="1"/>
      <c r="AA59" s="1"/>
      <c r="AB59" s="1"/>
      <c r="AC59" s="1"/>
      <c r="AD59" s="1"/>
      <c r="AE59" s="1"/>
      <c r="AF59" s="1"/>
      <c r="AG59" s="1"/>
    </row>
    <row r="60" spans="1:33" x14ac:dyDescent="0.3">
      <c r="A60" s="1"/>
      <c r="B60" s="1"/>
      <c r="C60" s="1"/>
      <c r="D60" s="1"/>
      <c r="E60" s="1"/>
      <c r="F60" s="1"/>
      <c r="G60" s="1"/>
      <c r="H60" s="1"/>
      <c r="I60" s="1"/>
      <c r="J60" s="70"/>
      <c r="K60" s="1"/>
      <c r="L60" s="1"/>
      <c r="M60" s="32"/>
      <c r="N60" s="1"/>
      <c r="O60" s="1"/>
      <c r="P60" s="1"/>
      <c r="Q60" s="1"/>
      <c r="R60" s="1"/>
      <c r="S60" s="1"/>
      <c r="T60" s="1"/>
      <c r="U60" s="1"/>
      <c r="V60" s="1"/>
      <c r="W60" s="1"/>
      <c r="X60" s="1"/>
      <c r="Y60" s="1"/>
      <c r="Z60" s="1"/>
      <c r="AA60" s="1"/>
      <c r="AB60" s="1"/>
      <c r="AC60" s="1"/>
      <c r="AD60" s="1"/>
      <c r="AE60" s="1"/>
      <c r="AF60" s="1"/>
      <c r="AG60" s="1"/>
    </row>
    <row r="61" spans="1:33" x14ac:dyDescent="0.3">
      <c r="A61" s="1" t="s">
        <v>44</v>
      </c>
      <c r="B61" s="1"/>
      <c r="C61" s="1"/>
      <c r="D61" s="20">
        <v>2012</v>
      </c>
      <c r="E61" s="20">
        <v>2013</v>
      </c>
      <c r="F61" s="20">
        <v>2014</v>
      </c>
      <c r="G61" s="20">
        <v>2015</v>
      </c>
      <c r="I61" s="1"/>
      <c r="J61" s="1"/>
      <c r="K61" s="1"/>
      <c r="L61" s="1"/>
      <c r="M61" s="32"/>
      <c r="N61" s="1"/>
      <c r="O61" s="1"/>
      <c r="P61" s="1"/>
      <c r="Q61" s="1"/>
      <c r="R61" s="1"/>
      <c r="S61" s="1"/>
      <c r="T61" s="1"/>
      <c r="U61" s="1"/>
      <c r="V61" s="1"/>
      <c r="W61" s="1"/>
      <c r="X61" s="1"/>
      <c r="Y61" s="1"/>
      <c r="Z61" s="1"/>
      <c r="AA61" s="1"/>
      <c r="AB61" s="1"/>
      <c r="AC61" s="1"/>
      <c r="AD61" s="1"/>
      <c r="AE61" s="1"/>
      <c r="AF61" s="1"/>
      <c r="AG61" s="1"/>
    </row>
    <row r="62" spans="1:33" x14ac:dyDescent="0.3">
      <c r="A62" s="1"/>
      <c r="B62" s="1" t="s">
        <v>93</v>
      </c>
      <c r="C62" s="1"/>
      <c r="D62" s="19">
        <f>+E13</f>
        <v>17681.399999999998</v>
      </c>
      <c r="E62" s="19">
        <f>+F13</f>
        <v>18211.841999999997</v>
      </c>
      <c r="F62" s="19">
        <f>+G13</f>
        <v>18758.197260000001</v>
      </c>
      <c r="G62" s="19">
        <f>+H13</f>
        <v>19320.9431778</v>
      </c>
      <c r="I62" s="1"/>
      <c r="J62" s="1"/>
      <c r="K62" s="1"/>
      <c r="L62" s="1"/>
      <c r="M62" s="32"/>
      <c r="N62" s="1"/>
      <c r="O62" s="1"/>
      <c r="P62" s="1"/>
      <c r="Q62" s="1"/>
      <c r="R62" s="1"/>
      <c r="S62" s="1"/>
      <c r="T62" s="1"/>
      <c r="U62" s="1"/>
      <c r="V62" s="1"/>
      <c r="W62" s="1"/>
      <c r="X62" s="1"/>
      <c r="Y62" s="1"/>
      <c r="Z62" s="1"/>
      <c r="AA62" s="1"/>
      <c r="AB62" s="1"/>
      <c r="AC62" s="1"/>
      <c r="AD62" s="1"/>
      <c r="AE62" s="1"/>
      <c r="AF62" s="1"/>
      <c r="AG62" s="1"/>
    </row>
    <row r="63" spans="1:33" x14ac:dyDescent="0.3">
      <c r="A63" s="1"/>
      <c r="B63" s="1" t="s">
        <v>94</v>
      </c>
      <c r="C63" s="1"/>
      <c r="D63" s="45">
        <f>+E12</f>
        <v>55301.399999999994</v>
      </c>
      <c r="E63" s="45">
        <f>+F12</f>
        <v>56960.441999999995</v>
      </c>
      <c r="F63" s="45">
        <f>+G12</f>
        <v>58669.255259999991</v>
      </c>
      <c r="G63" s="45">
        <f>+H12</f>
        <v>60429.332917799999</v>
      </c>
      <c r="I63" s="1"/>
      <c r="J63" s="1"/>
      <c r="K63" s="1"/>
      <c r="L63" s="1"/>
      <c r="M63" s="32"/>
      <c r="N63" s="1"/>
      <c r="O63" s="1"/>
      <c r="P63" s="1"/>
      <c r="Q63" s="1"/>
      <c r="R63" s="1"/>
      <c r="S63" s="1"/>
      <c r="T63" s="1"/>
      <c r="U63" s="1"/>
      <c r="V63" s="1"/>
      <c r="W63" s="1"/>
      <c r="X63" s="1"/>
      <c r="Y63" s="1"/>
      <c r="Z63" s="1"/>
      <c r="AA63" s="1"/>
      <c r="AB63" s="1"/>
      <c r="AC63" s="1"/>
      <c r="AD63" s="1"/>
      <c r="AE63" s="1"/>
      <c r="AF63" s="1"/>
      <c r="AG63" s="1"/>
    </row>
    <row r="64" spans="1:33" x14ac:dyDescent="0.3">
      <c r="A64" s="1"/>
      <c r="B64" s="1" t="s">
        <v>191</v>
      </c>
      <c r="C64" s="1"/>
      <c r="D64" s="104">
        <f>+E15+E16</f>
        <v>12163.8</v>
      </c>
      <c r="E64" s="104">
        <f>+F15+F16</f>
        <v>13188.119999999999</v>
      </c>
      <c r="F64" s="104">
        <f>+G15+G16</f>
        <v>13583.7636</v>
      </c>
      <c r="G64" s="104">
        <f>+H15+H16</f>
        <v>13991.276508000001</v>
      </c>
      <c r="I64" s="1"/>
      <c r="J64" s="1"/>
      <c r="K64" s="1"/>
      <c r="L64" s="1"/>
      <c r="M64" s="32"/>
      <c r="N64" s="1"/>
      <c r="O64" s="1"/>
      <c r="P64" s="1"/>
      <c r="Q64" s="1"/>
      <c r="R64" s="1"/>
      <c r="S64" s="1"/>
      <c r="T64" s="1"/>
      <c r="U64" s="1"/>
      <c r="V64" s="1"/>
      <c r="W64" s="1"/>
      <c r="X64" s="1"/>
      <c r="Y64" s="1"/>
      <c r="Z64" s="1"/>
      <c r="AA64" s="1"/>
      <c r="AB64" s="1"/>
      <c r="AC64" s="1"/>
      <c r="AD64" s="1"/>
      <c r="AE64" s="1"/>
      <c r="AF64" s="1"/>
      <c r="AG64" s="1"/>
    </row>
    <row r="65" spans="1:33" ht="15.75" customHeight="1" x14ac:dyDescent="0.3">
      <c r="A65" s="1"/>
      <c r="D65" s="229"/>
      <c r="E65" s="229"/>
      <c r="F65" s="229"/>
      <c r="G65" s="229"/>
      <c r="I65" s="1"/>
      <c r="J65" s="1"/>
      <c r="K65" s="1"/>
      <c r="L65" s="1"/>
      <c r="M65" s="32"/>
      <c r="N65" s="1"/>
      <c r="O65" s="1"/>
      <c r="P65" s="1"/>
      <c r="Q65" s="1"/>
      <c r="R65" s="1"/>
      <c r="S65" s="1"/>
      <c r="T65" s="1"/>
      <c r="U65" s="1"/>
      <c r="V65" s="1"/>
      <c r="W65" s="1"/>
      <c r="X65" s="1"/>
      <c r="Y65" s="1"/>
      <c r="Z65" s="1"/>
      <c r="AA65" s="1"/>
      <c r="AB65" s="1"/>
      <c r="AC65" s="1"/>
      <c r="AD65" s="1"/>
      <c r="AE65" s="1"/>
      <c r="AF65" s="1"/>
      <c r="AG65" s="1"/>
    </row>
    <row r="66" spans="1:33" x14ac:dyDescent="0.3">
      <c r="A66" s="1"/>
      <c r="B66" s="1" t="s">
        <v>45</v>
      </c>
      <c r="C66" s="1"/>
      <c r="D66" s="71">
        <f>+SUM(D62:D64)</f>
        <v>85146.599999999991</v>
      </c>
      <c r="E66" s="71">
        <f>+SUM(E62:E64)</f>
        <v>88360.40399999998</v>
      </c>
      <c r="F66" s="71">
        <f>+SUM(F62:F64)</f>
        <v>91011.216119999997</v>
      </c>
      <c r="G66" s="71">
        <f>+SUM(G62:G64)</f>
        <v>93741.552603599994</v>
      </c>
      <c r="I66" s="1"/>
      <c r="J66" s="32"/>
      <c r="K66" s="1"/>
      <c r="L66" s="1"/>
      <c r="M66" s="1"/>
      <c r="N66" s="1"/>
      <c r="O66" s="1"/>
      <c r="P66" s="1"/>
      <c r="Q66" s="1"/>
      <c r="R66" s="1"/>
      <c r="S66" s="1"/>
      <c r="T66" s="1"/>
      <c r="U66" s="1"/>
      <c r="V66" s="1"/>
      <c r="W66" s="1"/>
      <c r="X66" s="1"/>
      <c r="Y66" s="1"/>
      <c r="Z66" s="1"/>
      <c r="AA66" s="1"/>
      <c r="AB66" s="1"/>
      <c r="AC66" s="1"/>
      <c r="AD66" s="1"/>
    </row>
    <row r="67" spans="1:33" x14ac:dyDescent="0.3">
      <c r="A67" s="1" t="s">
        <v>46</v>
      </c>
      <c r="B67" s="1"/>
      <c r="C67" s="1"/>
      <c r="D67" s="1"/>
      <c r="E67" s="1"/>
      <c r="F67" s="1"/>
      <c r="G67" s="1"/>
      <c r="I67" s="1"/>
      <c r="J67" s="32"/>
      <c r="K67" s="1"/>
      <c r="L67" s="1"/>
      <c r="M67" s="1"/>
      <c r="N67" s="1"/>
      <c r="O67" s="1"/>
      <c r="P67" s="1"/>
      <c r="Q67" s="1"/>
      <c r="R67" s="1"/>
      <c r="S67" s="1"/>
      <c r="T67" s="1"/>
      <c r="U67" s="1"/>
      <c r="V67" s="1"/>
      <c r="W67" s="1"/>
      <c r="X67" s="1"/>
      <c r="Y67" s="1"/>
      <c r="Z67" s="1"/>
      <c r="AA67" s="1"/>
      <c r="AB67" s="1"/>
      <c r="AC67" s="1"/>
      <c r="AD67" s="1"/>
    </row>
    <row r="68" spans="1:33" x14ac:dyDescent="0.3">
      <c r="A68" s="1"/>
      <c r="B68" s="1"/>
      <c r="C68" s="1"/>
      <c r="D68" s="71"/>
      <c r="E68" s="71"/>
      <c r="F68" s="71"/>
      <c r="G68" s="71"/>
      <c r="I68" s="1"/>
      <c r="J68" s="32"/>
      <c r="K68" s="1"/>
      <c r="L68" s="1"/>
      <c r="M68" s="1"/>
      <c r="N68" s="1"/>
      <c r="O68" s="1"/>
      <c r="P68" s="1"/>
      <c r="Q68" s="1"/>
      <c r="R68" s="1"/>
      <c r="S68" s="1"/>
      <c r="T68" s="1"/>
      <c r="U68" s="1"/>
      <c r="V68" s="1"/>
      <c r="W68" s="1"/>
      <c r="X68" s="1"/>
      <c r="Y68" s="1"/>
      <c r="Z68" s="1"/>
      <c r="AA68" s="1"/>
      <c r="AB68" s="1"/>
      <c r="AC68" s="1"/>
      <c r="AD68" s="1"/>
    </row>
    <row r="69" spans="1:33" x14ac:dyDescent="0.3">
      <c r="A69" s="1"/>
      <c r="B69" s="1" t="str">
        <f>+A18</f>
        <v>Gen. &amp; Admin. Expenses</v>
      </c>
      <c r="C69" s="1"/>
      <c r="D69" s="45">
        <f>+E18</f>
        <v>12000</v>
      </c>
      <c r="E69" s="45">
        <f>+F18</f>
        <v>13200.000000000002</v>
      </c>
      <c r="F69" s="45">
        <f>+G18</f>
        <v>14520.000000000004</v>
      </c>
      <c r="G69" s="45">
        <f>+H18</f>
        <v>15972.000000000005</v>
      </c>
      <c r="I69" s="1"/>
      <c r="J69" s="32"/>
      <c r="K69" s="1"/>
      <c r="L69" s="1"/>
      <c r="M69" s="1"/>
      <c r="N69" s="1"/>
      <c r="O69" s="1"/>
      <c r="P69" s="1"/>
      <c r="Q69" s="1"/>
      <c r="R69" s="1"/>
      <c r="S69" s="1"/>
      <c r="T69" s="1"/>
      <c r="U69" s="1"/>
      <c r="V69" s="1"/>
      <c r="W69" s="1"/>
      <c r="X69" s="1"/>
      <c r="Y69" s="1"/>
      <c r="Z69" s="1"/>
      <c r="AA69" s="1"/>
      <c r="AB69" s="1"/>
      <c r="AC69" s="1"/>
      <c r="AD69" s="1"/>
    </row>
    <row r="70" spans="1:33" x14ac:dyDescent="0.3">
      <c r="A70" s="1"/>
      <c r="B70" s="1" t="str">
        <f>+A20</f>
        <v>Maintenance Costs</v>
      </c>
      <c r="C70" s="1"/>
      <c r="D70" s="71">
        <f>+E20</f>
        <v>4500</v>
      </c>
      <c r="E70" s="71">
        <f>+F20</f>
        <v>4635</v>
      </c>
      <c r="F70" s="71">
        <f>+G20</f>
        <v>5098.5</v>
      </c>
      <c r="G70" s="71">
        <f>+H20</f>
        <v>5608.35</v>
      </c>
      <c r="I70" s="1"/>
      <c r="J70" s="32"/>
      <c r="K70" s="1"/>
      <c r="L70" s="1"/>
      <c r="M70" s="1"/>
      <c r="N70" s="1"/>
      <c r="O70" s="1"/>
      <c r="P70" s="1"/>
      <c r="Q70" s="1"/>
      <c r="R70" s="1"/>
      <c r="S70" s="1"/>
      <c r="T70" s="1"/>
      <c r="U70" s="1"/>
      <c r="V70" s="1"/>
      <c r="W70" s="1"/>
      <c r="X70" s="1"/>
      <c r="Y70" s="1"/>
      <c r="Z70" s="1"/>
      <c r="AA70" s="1"/>
      <c r="AB70" s="1"/>
      <c r="AC70" s="1"/>
      <c r="AD70" s="1"/>
    </row>
    <row r="71" spans="1:33" x14ac:dyDescent="0.3">
      <c r="A71" s="1"/>
      <c r="B71" s="1" t="s">
        <v>47</v>
      </c>
      <c r="C71" s="1"/>
      <c r="D71" s="49">
        <f>+E23</f>
        <v>1000</v>
      </c>
      <c r="E71" s="49">
        <f>+F23</f>
        <v>1000</v>
      </c>
      <c r="F71" s="49">
        <f>+G23</f>
        <v>1000</v>
      </c>
      <c r="G71" s="49">
        <f>+H23</f>
        <v>1000</v>
      </c>
      <c r="I71" s="1"/>
      <c r="J71" s="32"/>
      <c r="K71" s="1"/>
      <c r="L71" s="1"/>
      <c r="M71" s="1"/>
      <c r="N71" s="1"/>
      <c r="O71" s="1"/>
      <c r="P71" s="1"/>
      <c r="Q71" s="1"/>
      <c r="R71" s="1"/>
      <c r="S71" s="1"/>
      <c r="T71" s="1"/>
      <c r="U71" s="1"/>
      <c r="V71" s="1"/>
      <c r="W71" s="1"/>
      <c r="X71" s="1"/>
      <c r="Y71" s="1"/>
      <c r="Z71" s="1"/>
      <c r="AA71" s="1"/>
      <c r="AB71" s="1"/>
      <c r="AC71" s="1"/>
      <c r="AD71" s="1"/>
    </row>
    <row r="72" spans="1:33" x14ac:dyDescent="0.3">
      <c r="A72" s="1"/>
      <c r="B72" s="1" t="s">
        <v>48</v>
      </c>
      <c r="C72" s="1"/>
      <c r="D72" s="72">
        <f>SUM(D68:D71)</f>
        <v>17500</v>
      </c>
      <c r="E72" s="72">
        <f>SUM(E68:E71)</f>
        <v>18835</v>
      </c>
      <c r="F72" s="72">
        <f>SUM(F68:F71)</f>
        <v>20618.500000000004</v>
      </c>
      <c r="G72" s="72">
        <f>SUM(G68:G71)</f>
        <v>22580.350000000006</v>
      </c>
      <c r="I72" s="1"/>
      <c r="J72" s="37"/>
      <c r="K72" s="1"/>
      <c r="L72" s="1"/>
      <c r="M72" s="1"/>
      <c r="N72" s="1"/>
      <c r="O72" s="1"/>
      <c r="P72" s="1"/>
      <c r="Q72" s="1"/>
      <c r="R72" s="1"/>
      <c r="S72" s="1"/>
      <c r="T72" s="1"/>
      <c r="U72" s="1"/>
      <c r="V72" s="1"/>
      <c r="W72" s="1"/>
      <c r="X72" s="1"/>
      <c r="Y72" s="1"/>
      <c r="Z72" s="1"/>
      <c r="AA72" s="1"/>
      <c r="AB72" s="1"/>
      <c r="AC72" s="1"/>
      <c r="AD72" s="1"/>
    </row>
    <row r="73" spans="1:33" ht="17.25" thickBot="1" x14ac:dyDescent="0.35">
      <c r="A73" s="1" t="s">
        <v>49</v>
      </c>
      <c r="B73" s="1"/>
      <c r="C73" s="1"/>
      <c r="D73" s="73">
        <f>D66-D72</f>
        <v>67646.599999999991</v>
      </c>
      <c r="E73" s="73">
        <f t="shared" ref="E73:G73" si="12">E66-E72</f>
        <v>69525.40399999998</v>
      </c>
      <c r="F73" s="73">
        <f t="shared" si="12"/>
        <v>70392.716119999997</v>
      </c>
      <c r="G73" s="73">
        <f t="shared" si="12"/>
        <v>71161.202603599988</v>
      </c>
      <c r="I73" s="1"/>
      <c r="J73" s="37"/>
      <c r="K73" s="1"/>
      <c r="L73" s="1"/>
      <c r="M73" s="1"/>
      <c r="N73" s="1"/>
      <c r="O73" s="1"/>
      <c r="P73" s="1"/>
      <c r="Q73" s="1"/>
      <c r="R73" s="1"/>
      <c r="S73" s="1"/>
      <c r="T73" s="1"/>
      <c r="U73" s="1"/>
      <c r="V73" s="1"/>
      <c r="W73" s="1"/>
      <c r="X73" s="1"/>
      <c r="Y73" s="1"/>
      <c r="Z73" s="1"/>
      <c r="AA73" s="1"/>
      <c r="AB73" s="1"/>
      <c r="AC73" s="1"/>
      <c r="AD73" s="1"/>
    </row>
    <row r="74" spans="1:33" x14ac:dyDescent="0.3">
      <c r="A74" s="1"/>
      <c r="B74" s="1"/>
      <c r="C74" s="1"/>
      <c r="D74" s="1"/>
      <c r="E74" s="1"/>
      <c r="F74" s="1"/>
      <c r="G74" s="1"/>
      <c r="I74" s="1"/>
      <c r="J74" s="32"/>
      <c r="K74" s="1"/>
      <c r="L74" s="1"/>
      <c r="M74" s="1"/>
      <c r="N74" s="1"/>
      <c r="O74" s="1"/>
      <c r="P74" s="1"/>
      <c r="Q74" s="1"/>
      <c r="R74" s="1"/>
      <c r="S74" s="1"/>
      <c r="T74" s="1"/>
      <c r="U74" s="1"/>
      <c r="V74" s="1"/>
      <c r="W74" s="1"/>
      <c r="X74" s="1"/>
      <c r="Y74" s="1"/>
      <c r="Z74" s="1"/>
      <c r="AA74" s="1"/>
      <c r="AB74" s="1"/>
      <c r="AC74" s="1"/>
      <c r="AD74" s="1"/>
    </row>
    <row r="75" spans="1:33" x14ac:dyDescent="0.3">
      <c r="A75" s="1" t="s">
        <v>50</v>
      </c>
      <c r="B75" s="1"/>
      <c r="C75" s="1"/>
      <c r="D75" s="1"/>
      <c r="E75" s="1"/>
      <c r="F75" s="1"/>
      <c r="G75" s="1"/>
      <c r="I75" s="1"/>
      <c r="J75" s="32"/>
      <c r="K75" s="1"/>
      <c r="L75" s="1"/>
      <c r="M75" s="1"/>
      <c r="N75" s="1"/>
      <c r="O75" s="1"/>
      <c r="P75" s="1"/>
      <c r="Q75" s="1"/>
      <c r="R75" s="1"/>
      <c r="S75" s="1"/>
      <c r="T75" s="1"/>
      <c r="U75" s="1"/>
      <c r="V75" s="1"/>
      <c r="W75" s="1"/>
      <c r="X75" s="1"/>
      <c r="Y75" s="1"/>
      <c r="Z75" s="1"/>
      <c r="AA75" s="1"/>
      <c r="AB75" s="1"/>
      <c r="AC75" s="1"/>
      <c r="AD75" s="1"/>
    </row>
    <row r="76" spans="1:33" x14ac:dyDescent="0.3">
      <c r="A76" s="1"/>
      <c r="B76" s="1" t="s">
        <v>51</v>
      </c>
      <c r="C76" s="1"/>
      <c r="D76" s="71">
        <f>+E28</f>
        <v>14966.666666666666</v>
      </c>
      <c r="E76" s="71">
        <f>+F28</f>
        <v>14966.666666666666</v>
      </c>
      <c r="F76" s="71">
        <f>+G28</f>
        <v>14966.666666666666</v>
      </c>
      <c r="G76" s="71">
        <f>+H28</f>
        <v>14966.666666666666</v>
      </c>
      <c r="I76" s="1"/>
      <c r="J76" s="32"/>
      <c r="K76" s="1"/>
      <c r="L76" s="1"/>
      <c r="M76" s="1"/>
      <c r="N76" s="1"/>
      <c r="O76" s="1"/>
      <c r="P76" s="1"/>
      <c r="Q76" s="1"/>
      <c r="R76" s="1"/>
      <c r="S76" s="1"/>
      <c r="T76" s="1"/>
      <c r="U76" s="1"/>
      <c r="V76" s="1"/>
      <c r="W76" s="1"/>
      <c r="X76" s="1"/>
      <c r="Y76" s="1"/>
      <c r="Z76" s="1"/>
      <c r="AA76" s="1"/>
      <c r="AB76" s="1"/>
      <c r="AC76" s="1"/>
      <c r="AD76" s="1"/>
    </row>
    <row r="77" spans="1:33" x14ac:dyDescent="0.3">
      <c r="A77" s="1"/>
      <c r="B77" s="1" t="s">
        <v>52</v>
      </c>
      <c r="C77" s="1"/>
      <c r="D77" s="74">
        <f>+'Note Table'!E15</f>
        <v>21812.842221499403</v>
      </c>
      <c r="E77" s="74">
        <f>+'Note Table'!E29</f>
        <v>21481.323120376634</v>
      </c>
      <c r="F77" s="74">
        <f>+'Note Table'!E43</f>
        <v>21132.842872856381</v>
      </c>
      <c r="G77" s="74">
        <f>+'Note Table'!E57</f>
        <v>20766.533714498695</v>
      </c>
      <c r="I77" s="1"/>
      <c r="J77" s="32"/>
      <c r="K77" s="1"/>
      <c r="L77" s="1"/>
      <c r="M77" s="1"/>
      <c r="N77" s="1"/>
      <c r="O77" s="1"/>
      <c r="P77" s="1"/>
      <c r="Q77" s="1"/>
      <c r="R77" s="1"/>
      <c r="S77" s="1"/>
      <c r="T77" s="1"/>
      <c r="U77" s="1"/>
      <c r="V77" s="1"/>
      <c r="W77" s="1"/>
      <c r="X77" s="1"/>
      <c r="Y77" s="1"/>
      <c r="Z77" s="1"/>
      <c r="AA77" s="1"/>
      <c r="AB77" s="1"/>
      <c r="AC77" s="1"/>
      <c r="AD77" s="1"/>
    </row>
    <row r="78" spans="1:33" x14ac:dyDescent="0.3">
      <c r="A78" s="1"/>
      <c r="B78" s="1" t="s">
        <v>53</v>
      </c>
      <c r="C78" s="1"/>
      <c r="D78" s="49">
        <f>IF(D107&gt;0,D107*$B$36, 0)</f>
        <v>0</v>
      </c>
      <c r="E78" s="49">
        <f>IF(E107&gt;0,E107*$B$36, 0)</f>
        <v>0</v>
      </c>
      <c r="F78" s="49">
        <f>IF(F107&gt;0,F107*$B$36, 0)</f>
        <v>0</v>
      </c>
      <c r="G78" s="49">
        <f>IF(G107&gt;0,G107*$B$36, 0)</f>
        <v>0</v>
      </c>
      <c r="I78" s="1"/>
      <c r="J78" s="32"/>
      <c r="K78" s="1"/>
      <c r="L78" s="1"/>
      <c r="M78" s="1"/>
      <c r="N78" s="1"/>
      <c r="O78" s="1"/>
      <c r="P78" s="1"/>
      <c r="Q78" s="1"/>
      <c r="R78" s="1"/>
      <c r="S78" s="1"/>
      <c r="T78" s="1"/>
      <c r="U78" s="1"/>
      <c r="V78" s="1"/>
      <c r="W78" s="1"/>
      <c r="X78" s="1"/>
      <c r="Y78" s="1"/>
      <c r="Z78" s="1"/>
      <c r="AA78" s="1"/>
      <c r="AB78" s="1"/>
      <c r="AC78" s="1"/>
      <c r="AD78" s="1"/>
    </row>
    <row r="79" spans="1:33" x14ac:dyDescent="0.3">
      <c r="A79" s="1"/>
      <c r="B79" s="1" t="s">
        <v>54</v>
      </c>
      <c r="C79" s="1"/>
      <c r="D79" s="45">
        <f>SUM(D76:D78)</f>
        <v>36779.50888816607</v>
      </c>
      <c r="E79" s="45">
        <f>SUM(E76:E78)</f>
        <v>36447.989787043298</v>
      </c>
      <c r="F79" s="45">
        <f>SUM(F76:F78)</f>
        <v>36099.509539523046</v>
      </c>
      <c r="G79" s="45">
        <f>SUM(G76:G78)</f>
        <v>35733.200381165363</v>
      </c>
      <c r="I79" s="1"/>
      <c r="J79" s="32"/>
      <c r="K79" s="1"/>
      <c r="L79" s="1"/>
      <c r="M79" s="1"/>
      <c r="N79" s="1"/>
      <c r="O79" s="1"/>
      <c r="P79" s="1"/>
      <c r="Q79" s="1"/>
      <c r="R79" s="1"/>
      <c r="S79" s="1"/>
      <c r="T79" s="1"/>
      <c r="U79" s="1"/>
      <c r="V79" s="1"/>
      <c r="W79" s="1"/>
      <c r="X79" s="1"/>
      <c r="Y79" s="1"/>
      <c r="Z79" s="1"/>
      <c r="AA79" s="1"/>
      <c r="AB79" s="1"/>
      <c r="AC79" s="1"/>
      <c r="AD79" s="1"/>
    </row>
    <row r="80" spans="1:33" x14ac:dyDescent="0.3">
      <c r="A80" s="1" t="s">
        <v>55</v>
      </c>
      <c r="B80" s="1"/>
      <c r="C80" s="1"/>
      <c r="D80" s="19">
        <f>+D73-D79</f>
        <v>30867.091111833921</v>
      </c>
      <c r="E80" s="19">
        <f>+E73-E79</f>
        <v>33077.414212956683</v>
      </c>
      <c r="F80" s="19">
        <f>+F73-F79</f>
        <v>34293.206580476952</v>
      </c>
      <c r="G80" s="19">
        <f>+G73-G79</f>
        <v>35428.002222434625</v>
      </c>
      <c r="I80" s="1"/>
      <c r="J80" s="32"/>
      <c r="K80" s="1"/>
      <c r="L80" s="1"/>
      <c r="M80" s="1"/>
      <c r="N80" s="1"/>
      <c r="O80" s="1"/>
      <c r="P80" s="1"/>
      <c r="Q80" s="1"/>
      <c r="R80" s="1"/>
      <c r="S80" s="1"/>
      <c r="T80" s="1"/>
      <c r="U80" s="1"/>
      <c r="V80" s="1"/>
      <c r="W80" s="1"/>
      <c r="X80" s="1"/>
      <c r="Y80" s="1"/>
      <c r="Z80" s="1"/>
      <c r="AA80" s="1"/>
      <c r="AB80" s="1"/>
      <c r="AC80" s="1"/>
      <c r="AD80" s="1"/>
    </row>
    <row r="81" spans="1:30" x14ac:dyDescent="0.3">
      <c r="A81" s="1" t="s">
        <v>135</v>
      </c>
      <c r="B81" s="1"/>
      <c r="C81" s="1"/>
      <c r="D81" s="19">
        <f>+IF(D80&gt;0,D80*$B$48,0)</f>
        <v>5247.4054890117668</v>
      </c>
      <c r="E81" s="19">
        <f t="shared" ref="E81:G81" si="13">+IF(E80&gt;0,E80*$B$48,0)</f>
        <v>5623.160416202636</v>
      </c>
      <c r="F81" s="19">
        <f t="shared" si="13"/>
        <v>5829.8451186810826</v>
      </c>
      <c r="G81" s="19">
        <f t="shared" si="13"/>
        <v>6022.7603778138864</v>
      </c>
      <c r="I81" s="1"/>
      <c r="J81" s="32"/>
      <c r="K81" s="1"/>
      <c r="L81" s="1"/>
      <c r="M81" s="1"/>
      <c r="N81" s="1"/>
      <c r="O81" s="1"/>
      <c r="P81" s="1"/>
      <c r="Q81" s="1"/>
      <c r="R81" s="1"/>
      <c r="S81" s="1"/>
      <c r="T81" s="1"/>
      <c r="U81" s="1"/>
      <c r="V81" s="1"/>
      <c r="W81" s="1"/>
      <c r="X81" s="1"/>
      <c r="Y81" s="1"/>
      <c r="Z81" s="1"/>
      <c r="AA81" s="1"/>
      <c r="AB81" s="1"/>
      <c r="AC81" s="1"/>
      <c r="AD81" s="1"/>
    </row>
    <row r="82" spans="1:30" x14ac:dyDescent="0.3">
      <c r="A82" s="1" t="s">
        <v>95</v>
      </c>
      <c r="B82" s="1"/>
      <c r="C82" s="1"/>
      <c r="D82" s="19">
        <f>E45</f>
        <v>2360.6999999999998</v>
      </c>
      <c r="E82" s="19">
        <f>F45</f>
        <v>2372.5034999999993</v>
      </c>
      <c r="F82" s="19">
        <f>G45</f>
        <v>2384.3660174999991</v>
      </c>
      <c r="G82" s="19">
        <f>H45</f>
        <v>2396.2878475874986</v>
      </c>
      <c r="I82" s="1"/>
      <c r="J82" s="32"/>
      <c r="K82" s="1"/>
      <c r="L82" s="1"/>
      <c r="M82" s="1"/>
      <c r="N82" s="1"/>
      <c r="O82" s="1"/>
      <c r="P82" s="1"/>
      <c r="Q82" s="1"/>
      <c r="R82" s="1"/>
      <c r="S82" s="1"/>
      <c r="T82" s="1"/>
      <c r="U82" s="1"/>
      <c r="V82" s="1"/>
      <c r="W82" s="1"/>
      <c r="X82" s="1"/>
      <c r="Y82" s="1"/>
      <c r="Z82" s="1"/>
      <c r="AA82" s="1"/>
      <c r="AB82" s="1"/>
      <c r="AC82" s="1"/>
      <c r="AD82" s="1"/>
    </row>
    <row r="83" spans="1:30" ht="17.25" thickBot="1" x14ac:dyDescent="0.35">
      <c r="A83" s="1" t="s">
        <v>56</v>
      </c>
      <c r="B83" s="1"/>
      <c r="C83" s="1"/>
      <c r="D83" s="75">
        <f>+D80-D81-D82</f>
        <v>23258.985622822154</v>
      </c>
      <c r="E83" s="75">
        <f>+E80-E81-E82</f>
        <v>25081.750296754049</v>
      </c>
      <c r="F83" s="75">
        <f>+F80-F81-F82</f>
        <v>26078.99544429587</v>
      </c>
      <c r="G83" s="75">
        <f>+G80-G81-G82</f>
        <v>27008.953997033241</v>
      </c>
      <c r="I83" s="1"/>
      <c r="J83" s="32"/>
      <c r="K83" s="1"/>
      <c r="L83" s="1"/>
      <c r="M83" s="1"/>
      <c r="N83" s="1"/>
      <c r="O83" s="1"/>
      <c r="P83" s="1"/>
      <c r="Q83" s="1"/>
      <c r="R83" s="1"/>
      <c r="S83" s="1"/>
      <c r="T83" s="1"/>
      <c r="U83" s="1"/>
      <c r="V83" s="1"/>
      <c r="W83" s="1"/>
      <c r="X83" s="1"/>
      <c r="Y83" s="1"/>
      <c r="Z83" s="1"/>
      <c r="AA83" s="1"/>
      <c r="AB83" s="1"/>
      <c r="AC83" s="1"/>
      <c r="AD83" s="1"/>
    </row>
    <row r="84" spans="1:30" ht="17.25" thickTop="1" x14ac:dyDescent="0.3">
      <c r="A84" s="1"/>
      <c r="B84" s="1"/>
      <c r="C84" s="1"/>
      <c r="D84" s="1"/>
      <c r="E84" s="1"/>
      <c r="F84" s="1"/>
      <c r="G84" s="1"/>
      <c r="I84" s="1"/>
      <c r="J84" s="32"/>
      <c r="K84" s="1"/>
      <c r="L84" s="1"/>
      <c r="M84" s="1"/>
      <c r="N84" s="1"/>
      <c r="O84" s="1"/>
      <c r="P84" s="1"/>
      <c r="Q84" s="1"/>
      <c r="R84" s="1"/>
      <c r="S84" s="1"/>
      <c r="T84" s="1"/>
      <c r="U84" s="1"/>
      <c r="V84" s="1"/>
      <c r="W84" s="1"/>
      <c r="X84" s="1"/>
      <c r="Y84" s="1"/>
      <c r="Z84" s="1"/>
      <c r="AA84" s="1"/>
      <c r="AB84" s="1"/>
      <c r="AC84" s="1"/>
      <c r="AD84" s="1"/>
    </row>
    <row r="85" spans="1:30" x14ac:dyDescent="0.3">
      <c r="A85" s="20" t="s">
        <v>134</v>
      </c>
      <c r="B85" s="1"/>
      <c r="C85" s="1"/>
      <c r="D85" s="1"/>
      <c r="E85" s="1"/>
      <c r="F85" s="1"/>
      <c r="G85" s="1"/>
      <c r="I85" s="1"/>
      <c r="J85" s="32"/>
      <c r="K85" s="1"/>
      <c r="L85" s="1"/>
      <c r="M85" s="1"/>
      <c r="N85" s="1"/>
      <c r="O85" s="1"/>
      <c r="P85" s="1"/>
      <c r="Q85" s="1"/>
      <c r="R85" s="1"/>
      <c r="S85" s="1"/>
      <c r="T85" s="1"/>
      <c r="U85" s="1"/>
      <c r="V85" s="1"/>
      <c r="W85" s="1"/>
      <c r="X85" s="1"/>
      <c r="Y85" s="1"/>
      <c r="Z85" s="1"/>
      <c r="AA85" s="1"/>
      <c r="AB85" s="1"/>
      <c r="AC85" s="1"/>
      <c r="AD85" s="1"/>
    </row>
    <row r="86" spans="1:30" x14ac:dyDescent="0.3">
      <c r="A86" s="1"/>
      <c r="B86" s="1"/>
      <c r="C86" s="1"/>
      <c r="D86" s="1"/>
      <c r="E86" s="1"/>
      <c r="F86" s="1"/>
      <c r="G86" s="1"/>
      <c r="I86" s="1"/>
      <c r="J86" s="32"/>
      <c r="K86" s="1"/>
      <c r="L86" s="1"/>
      <c r="M86" s="1"/>
      <c r="N86" s="1"/>
      <c r="O86" s="1"/>
      <c r="P86" s="1"/>
      <c r="Q86" s="1"/>
      <c r="R86" s="1"/>
      <c r="S86" s="1"/>
      <c r="T86" s="1"/>
      <c r="U86" s="1"/>
      <c r="V86" s="1"/>
      <c r="W86" s="1"/>
      <c r="X86" s="1"/>
      <c r="Y86" s="1"/>
      <c r="Z86" s="1"/>
      <c r="AA86" s="1"/>
      <c r="AB86" s="1"/>
      <c r="AC86" s="1"/>
      <c r="AD86" s="1"/>
    </row>
    <row r="87" spans="1:30" x14ac:dyDescent="0.3">
      <c r="A87" s="1"/>
      <c r="B87" s="1"/>
      <c r="C87" s="1"/>
      <c r="D87" s="1"/>
      <c r="E87" s="1"/>
      <c r="F87" s="1"/>
      <c r="G87" s="1"/>
      <c r="I87" s="1"/>
      <c r="J87" s="32"/>
      <c r="K87" s="1"/>
      <c r="L87" s="1"/>
      <c r="M87" s="1"/>
      <c r="N87" s="1"/>
      <c r="O87" s="1"/>
      <c r="P87" s="1"/>
      <c r="Q87" s="1"/>
      <c r="R87" s="1"/>
      <c r="S87" s="1"/>
      <c r="T87" s="1"/>
      <c r="U87" s="1"/>
      <c r="V87" s="1"/>
      <c r="W87" s="1"/>
      <c r="X87" s="1"/>
      <c r="Y87" s="1"/>
      <c r="Z87" s="1"/>
      <c r="AA87" s="1"/>
      <c r="AB87" s="1"/>
      <c r="AC87" s="1"/>
      <c r="AD87" s="1"/>
    </row>
    <row r="88" spans="1:30" x14ac:dyDescent="0.3">
      <c r="A88" s="20" t="s">
        <v>57</v>
      </c>
      <c r="B88" s="1"/>
      <c r="C88" s="1"/>
      <c r="D88" s="76">
        <v>2012</v>
      </c>
      <c r="E88" s="76">
        <v>2013</v>
      </c>
      <c r="F88" s="76">
        <v>2014</v>
      </c>
      <c r="G88" s="76">
        <v>2015</v>
      </c>
      <c r="I88" s="1"/>
      <c r="J88" s="32"/>
      <c r="K88" s="1"/>
      <c r="L88" s="1"/>
      <c r="M88" s="1"/>
      <c r="N88" s="1"/>
      <c r="O88" s="1"/>
      <c r="P88" s="1"/>
      <c r="Q88" s="1"/>
      <c r="R88" s="1"/>
      <c r="S88" s="1"/>
      <c r="T88" s="1"/>
      <c r="U88" s="1"/>
      <c r="V88" s="1"/>
      <c r="W88" s="1"/>
      <c r="X88" s="1"/>
      <c r="Y88" s="1"/>
      <c r="Z88" s="1"/>
      <c r="AA88" s="1"/>
      <c r="AB88" s="1"/>
      <c r="AC88" s="1"/>
      <c r="AD88" s="1"/>
    </row>
    <row r="89" spans="1:30" x14ac:dyDescent="0.3">
      <c r="A89" s="1" t="s">
        <v>58</v>
      </c>
      <c r="B89" s="1" t="s">
        <v>59</v>
      </c>
      <c r="C89" s="1"/>
      <c r="D89" s="77">
        <v>35227.355736662619</v>
      </c>
      <c r="E89" s="77">
        <v>68645.787674482315</v>
      </c>
      <c r="F89" s="77">
        <v>102548.00361897983</v>
      </c>
      <c r="G89" s="77">
        <v>136994.54595078519</v>
      </c>
      <c r="I89" s="1"/>
      <c r="J89" s="32"/>
      <c r="K89" s="1"/>
      <c r="L89" s="1"/>
      <c r="M89" s="1"/>
      <c r="N89" s="1"/>
      <c r="O89" s="1"/>
      <c r="P89" s="1"/>
      <c r="Q89" s="1"/>
      <c r="R89" s="1"/>
      <c r="S89" s="1"/>
      <c r="T89" s="1"/>
      <c r="U89" s="1"/>
      <c r="V89" s="1"/>
      <c r="W89" s="1"/>
      <c r="X89" s="1"/>
      <c r="Y89" s="1"/>
      <c r="Z89" s="1"/>
      <c r="AA89" s="1"/>
      <c r="AB89" s="1"/>
      <c r="AC89" s="1"/>
      <c r="AD89" s="1"/>
    </row>
    <row r="90" spans="1:30" x14ac:dyDescent="0.3">
      <c r="A90" s="1"/>
      <c r="B90" s="1" t="s">
        <v>249</v>
      </c>
      <c r="C90" s="1"/>
      <c r="D90" s="49">
        <f>E11</f>
        <v>6081.9</v>
      </c>
      <c r="E90" s="49">
        <f t="shared" ref="E90:G90" si="14">F11</f>
        <v>6264.357</v>
      </c>
      <c r="F90" s="49">
        <f t="shared" si="14"/>
        <v>6452.2877099999996</v>
      </c>
      <c r="G90" s="49">
        <f t="shared" si="14"/>
        <v>6645.8563413000002</v>
      </c>
      <c r="I90" s="1"/>
      <c r="J90" s="32"/>
      <c r="K90" s="1"/>
      <c r="L90" s="1"/>
      <c r="M90" s="1"/>
      <c r="N90" s="1"/>
      <c r="O90" s="1"/>
      <c r="P90" s="1"/>
      <c r="Q90" s="1"/>
      <c r="R90" s="1"/>
      <c r="S90" s="1"/>
      <c r="T90" s="1"/>
      <c r="U90" s="1"/>
      <c r="V90" s="1"/>
      <c r="W90" s="1"/>
      <c r="X90" s="1"/>
      <c r="Y90" s="1"/>
      <c r="Z90" s="1"/>
      <c r="AA90" s="1"/>
      <c r="AB90" s="1"/>
      <c r="AC90" s="1"/>
      <c r="AD90" s="1"/>
    </row>
    <row r="91" spans="1:30" x14ac:dyDescent="0.3">
      <c r="A91" s="1"/>
      <c r="B91" s="100" t="s">
        <v>136</v>
      </c>
      <c r="C91" s="1"/>
      <c r="D91" s="71">
        <f>SUM(D89:D90)</f>
        <v>41309.255736662621</v>
      </c>
      <c r="E91" s="71">
        <f>SUM(E89:E90)</f>
        <v>74910.144674482319</v>
      </c>
      <c r="F91" s="71">
        <f>SUM(F89:F90)</f>
        <v>109000.29132897983</v>
      </c>
      <c r="G91" s="71">
        <f>SUM(G89:G90)</f>
        <v>143640.4022920852</v>
      </c>
      <c r="I91" s="1"/>
      <c r="J91" s="32"/>
      <c r="K91" s="1"/>
      <c r="L91" s="1"/>
      <c r="M91" s="1"/>
      <c r="N91" s="1"/>
      <c r="O91" s="1"/>
      <c r="P91" s="1"/>
      <c r="Q91" s="1"/>
      <c r="R91" s="1"/>
      <c r="S91" s="1"/>
      <c r="T91" s="1"/>
      <c r="U91" s="1"/>
      <c r="V91" s="1"/>
      <c r="W91" s="1"/>
      <c r="X91" s="1"/>
      <c r="Y91" s="1"/>
      <c r="Z91" s="1"/>
      <c r="AA91" s="1"/>
      <c r="AB91" s="1"/>
      <c r="AC91" s="1"/>
      <c r="AD91" s="1"/>
    </row>
    <row r="92" spans="1:30" x14ac:dyDescent="0.3">
      <c r="A92" s="1"/>
      <c r="B92" s="1"/>
      <c r="C92" s="1"/>
      <c r="D92" s="71"/>
      <c r="E92" s="71"/>
      <c r="F92" s="71"/>
      <c r="G92" s="71"/>
      <c r="I92" s="1"/>
      <c r="J92" s="32"/>
      <c r="K92" s="1"/>
      <c r="L92" s="1"/>
      <c r="M92" s="1"/>
      <c r="N92" s="1"/>
      <c r="O92" s="1"/>
      <c r="P92" s="1"/>
      <c r="Q92" s="1"/>
      <c r="R92" s="1"/>
      <c r="S92" s="1"/>
      <c r="T92" s="1"/>
      <c r="U92" s="1"/>
      <c r="V92" s="1"/>
      <c r="W92" s="1"/>
      <c r="X92" s="1"/>
      <c r="Y92" s="1"/>
      <c r="Z92" s="1"/>
      <c r="AA92" s="1"/>
      <c r="AB92" s="1"/>
      <c r="AC92" s="1"/>
      <c r="AD92" s="1"/>
    </row>
    <row r="93" spans="1:30" x14ac:dyDescent="0.3">
      <c r="A93" s="1" t="s">
        <v>60</v>
      </c>
      <c r="B93" s="1" t="s">
        <v>177</v>
      </c>
      <c r="C93" s="1"/>
      <c r="D93" s="45">
        <f>+$B$28-E29</f>
        <v>434033.33333333331</v>
      </c>
      <c r="E93" s="45">
        <f>+$B$28-F29</f>
        <v>419066.66666666669</v>
      </c>
      <c r="F93" s="45">
        <f>+$B$28-G29</f>
        <v>404100</v>
      </c>
      <c r="G93" s="45">
        <f>+$B$28-H29</f>
        <v>389133.33333333331</v>
      </c>
      <c r="I93" s="1"/>
      <c r="J93" s="32"/>
      <c r="K93" s="1"/>
      <c r="L93" s="1"/>
      <c r="M93" s="1"/>
      <c r="N93" s="1"/>
      <c r="O93" s="1"/>
      <c r="P93" s="1"/>
      <c r="Q93" s="1"/>
      <c r="R93" s="1"/>
      <c r="S93" s="1"/>
      <c r="T93" s="1"/>
      <c r="U93" s="1"/>
      <c r="V93" s="1"/>
      <c r="W93" s="1"/>
      <c r="X93" s="1"/>
      <c r="Y93" s="1"/>
      <c r="Z93" s="1"/>
      <c r="AA93" s="1"/>
      <c r="AB93" s="1"/>
      <c r="AC93" s="1"/>
      <c r="AD93" s="1"/>
    </row>
    <row r="94" spans="1:30" x14ac:dyDescent="0.3">
      <c r="A94" s="1"/>
      <c r="B94" s="1" t="s">
        <v>187</v>
      </c>
      <c r="C94" s="1"/>
      <c r="D94" s="45">
        <f>+E27</f>
        <v>100000</v>
      </c>
      <c r="E94" s="45">
        <f>+F27</f>
        <v>100000</v>
      </c>
      <c r="F94" s="45">
        <f>+G27</f>
        <v>100000</v>
      </c>
      <c r="G94" s="45">
        <f>+H27</f>
        <v>100000</v>
      </c>
      <c r="I94" s="1"/>
      <c r="J94" s="32"/>
      <c r="K94" s="1"/>
      <c r="L94" s="1"/>
      <c r="M94" s="1"/>
      <c r="N94" s="1"/>
      <c r="O94" s="1"/>
      <c r="P94" s="1"/>
      <c r="Q94" s="1"/>
      <c r="R94" s="1"/>
      <c r="S94" s="1"/>
      <c r="T94" s="1"/>
      <c r="U94" s="1"/>
      <c r="V94" s="1"/>
      <c r="W94" s="1"/>
      <c r="X94" s="1"/>
      <c r="Y94" s="1"/>
      <c r="Z94" s="1"/>
      <c r="AA94" s="1"/>
      <c r="AB94" s="1"/>
      <c r="AC94" s="1"/>
      <c r="AD94" s="1"/>
    </row>
    <row r="95" spans="1:30" x14ac:dyDescent="0.3">
      <c r="A95" s="1"/>
      <c r="B95" s="1"/>
      <c r="C95" s="1"/>
      <c r="D95" s="49"/>
      <c r="E95" s="49"/>
      <c r="F95" s="49"/>
      <c r="G95" s="49"/>
      <c r="I95" s="1"/>
      <c r="J95" s="32"/>
      <c r="K95" s="1"/>
      <c r="L95" s="1"/>
      <c r="M95" s="1"/>
      <c r="N95" s="1"/>
      <c r="O95" s="1"/>
      <c r="P95" s="1"/>
      <c r="Q95" s="1"/>
      <c r="R95" s="1"/>
      <c r="S95" s="1"/>
      <c r="T95" s="1"/>
      <c r="U95" s="1"/>
      <c r="V95" s="1"/>
      <c r="W95" s="1"/>
      <c r="X95" s="1"/>
      <c r="Y95" s="1"/>
      <c r="Z95" s="1"/>
      <c r="AA95" s="1"/>
      <c r="AB95" s="1"/>
      <c r="AC95" s="1"/>
      <c r="AD95" s="1"/>
    </row>
    <row r="96" spans="1:30" x14ac:dyDescent="0.3">
      <c r="A96" s="1"/>
      <c r="B96" s="100" t="s">
        <v>137</v>
      </c>
      <c r="C96" s="1"/>
      <c r="D96" s="45">
        <f>+SUM(D93:D95)</f>
        <v>534033.33333333326</v>
      </c>
      <c r="E96" s="45">
        <f>+SUM(E93:E95)</f>
        <v>519066.66666666669</v>
      </c>
      <c r="F96" s="45">
        <f>+SUM(F93:F95)</f>
        <v>504100</v>
      </c>
      <c r="G96" s="45">
        <f>+SUM(G93:G95)</f>
        <v>489133.33333333331</v>
      </c>
      <c r="I96" s="1"/>
      <c r="J96" s="32"/>
      <c r="K96" s="1"/>
      <c r="L96" s="1"/>
      <c r="M96" s="1"/>
      <c r="N96" s="1"/>
      <c r="O96" s="1"/>
      <c r="P96" s="1"/>
      <c r="Q96" s="1"/>
      <c r="R96" s="1"/>
      <c r="S96" s="1"/>
      <c r="T96" s="1"/>
      <c r="U96" s="1"/>
      <c r="V96" s="1"/>
      <c r="W96" s="1"/>
      <c r="X96" s="1"/>
      <c r="Y96" s="1"/>
      <c r="Z96" s="1"/>
      <c r="AA96" s="1"/>
      <c r="AB96" s="1"/>
      <c r="AC96" s="1"/>
      <c r="AD96" s="1"/>
    </row>
    <row r="97" spans="1:30" x14ac:dyDescent="0.3">
      <c r="A97" s="1"/>
      <c r="B97" s="1"/>
      <c r="C97" s="1"/>
      <c r="D97" s="49"/>
      <c r="E97" s="49"/>
      <c r="F97" s="49"/>
      <c r="G97" s="49"/>
      <c r="I97" s="1"/>
      <c r="J97" s="32"/>
      <c r="K97" s="1"/>
      <c r="L97" s="1"/>
      <c r="M97" s="1"/>
      <c r="N97" s="1"/>
      <c r="O97" s="1"/>
      <c r="P97" s="1"/>
      <c r="Q97" s="1"/>
      <c r="R97" s="1"/>
      <c r="S97" s="1"/>
      <c r="T97" s="1"/>
      <c r="U97" s="1"/>
      <c r="V97" s="1"/>
      <c r="W97" s="1"/>
      <c r="X97" s="1"/>
      <c r="Y97" s="1"/>
      <c r="Z97" s="1"/>
      <c r="AA97" s="1"/>
      <c r="AB97" s="1"/>
      <c r="AC97" s="1"/>
      <c r="AD97" s="1"/>
    </row>
    <row r="98" spans="1:30" ht="17.25" thickBot="1" x14ac:dyDescent="0.35">
      <c r="A98" s="99" t="s">
        <v>61</v>
      </c>
      <c r="C98" s="1"/>
      <c r="D98" s="101">
        <f>+D91+D96</f>
        <v>575342.58906999591</v>
      </c>
      <c r="E98" s="101">
        <f>+E91+E96</f>
        <v>593976.81134114903</v>
      </c>
      <c r="F98" s="101">
        <f>+F91+F96</f>
        <v>613100.29132897989</v>
      </c>
      <c r="G98" s="101">
        <f>+G91+G96</f>
        <v>632773.73562541849</v>
      </c>
      <c r="I98" s="71"/>
      <c r="J98" s="32"/>
      <c r="K98" s="1"/>
      <c r="L98" s="1"/>
      <c r="M98" s="1"/>
      <c r="N98" s="1"/>
      <c r="O98" s="1"/>
      <c r="P98" s="1"/>
      <c r="Q98" s="1"/>
      <c r="R98" s="1"/>
      <c r="S98" s="1"/>
      <c r="T98" s="1"/>
      <c r="U98" s="1"/>
      <c r="V98" s="1"/>
      <c r="W98" s="1"/>
      <c r="X98" s="1"/>
      <c r="Y98" s="1"/>
      <c r="Z98" s="1"/>
      <c r="AA98" s="1"/>
      <c r="AB98" s="1"/>
      <c r="AC98" s="1"/>
      <c r="AD98" s="1"/>
    </row>
    <row r="99" spans="1:30" x14ac:dyDescent="0.3">
      <c r="A99" s="1"/>
      <c r="B99" s="1"/>
      <c r="C99" s="1"/>
      <c r="D99" s="71"/>
      <c r="E99" s="71"/>
      <c r="F99" s="71"/>
      <c r="G99" s="71"/>
      <c r="I99" s="71"/>
      <c r="J99" s="32"/>
      <c r="K99" s="1"/>
      <c r="L99" s="1"/>
      <c r="M99" s="1"/>
      <c r="N99" s="1"/>
      <c r="O99" s="1"/>
      <c r="P99" s="1"/>
      <c r="Q99" s="1"/>
      <c r="R99" s="1"/>
      <c r="S99" s="1"/>
      <c r="T99" s="1"/>
      <c r="U99" s="1"/>
      <c r="V99" s="1"/>
      <c r="W99" s="1"/>
      <c r="X99" s="1"/>
      <c r="Y99" s="1"/>
      <c r="Z99" s="1"/>
      <c r="AA99" s="1"/>
      <c r="AB99" s="1"/>
      <c r="AC99" s="1"/>
      <c r="AD99" s="1"/>
    </row>
    <row r="100" spans="1:30" x14ac:dyDescent="0.3">
      <c r="A100" s="20" t="s">
        <v>62</v>
      </c>
      <c r="B100" s="1"/>
      <c r="C100" s="1"/>
      <c r="D100" s="71"/>
      <c r="E100" s="71"/>
      <c r="F100" s="71"/>
      <c r="G100" s="71"/>
      <c r="I100" s="71"/>
      <c r="J100" s="32"/>
      <c r="K100" s="1"/>
      <c r="L100" s="1"/>
      <c r="M100" s="1"/>
      <c r="N100" s="1"/>
      <c r="O100" s="1"/>
      <c r="P100" s="1"/>
      <c r="Q100" s="1"/>
      <c r="R100" s="1"/>
      <c r="S100" s="1"/>
      <c r="T100" s="1"/>
      <c r="U100" s="1"/>
      <c r="V100" s="1"/>
      <c r="W100" s="1"/>
      <c r="X100" s="1"/>
      <c r="Y100" s="1"/>
      <c r="Z100" s="1"/>
      <c r="AA100" s="1"/>
      <c r="AB100" s="1"/>
      <c r="AC100" s="1"/>
      <c r="AD100" s="1"/>
    </row>
    <row r="101" spans="1:30" x14ac:dyDescent="0.3">
      <c r="A101" s="1" t="s">
        <v>63</v>
      </c>
      <c r="B101" s="1" t="s">
        <v>188</v>
      </c>
      <c r="C101" s="1"/>
      <c r="D101" s="71">
        <f>+E21</f>
        <v>150</v>
      </c>
      <c r="E101" s="71">
        <f>+F21</f>
        <v>154.5</v>
      </c>
      <c r="F101" s="71">
        <f>+G21</f>
        <v>169.95</v>
      </c>
      <c r="G101" s="71">
        <f>+H21</f>
        <v>186.94500000000002</v>
      </c>
      <c r="I101" s="71"/>
      <c r="J101" s="32"/>
      <c r="K101" s="1"/>
      <c r="L101" s="1"/>
      <c r="M101" s="1"/>
      <c r="N101" s="1"/>
      <c r="O101" s="1"/>
      <c r="P101" s="1"/>
      <c r="Q101" s="1"/>
      <c r="R101" s="1"/>
      <c r="S101" s="1"/>
      <c r="T101" s="1"/>
      <c r="U101" s="1"/>
      <c r="V101" s="1"/>
      <c r="W101" s="1"/>
      <c r="X101" s="1"/>
      <c r="Y101" s="1"/>
      <c r="Z101" s="1"/>
      <c r="AA101" s="1"/>
      <c r="AB101" s="1"/>
      <c r="AC101" s="1"/>
      <c r="AD101" s="1"/>
    </row>
    <row r="102" spans="1:30" x14ac:dyDescent="0.3">
      <c r="A102" s="1"/>
      <c r="B102" s="1" t="s">
        <v>65</v>
      </c>
      <c r="C102" s="1"/>
      <c r="D102" s="78">
        <f>+'Note Table'!E14</f>
        <v>1805.3025558943441</v>
      </c>
      <c r="E102" s="71">
        <f>+'Note Table'!E28</f>
        <v>1777.039801957186</v>
      </c>
      <c r="F102" s="71">
        <f>+'Note Table'!E42</f>
        <v>1747.3310718892387</v>
      </c>
      <c r="G102" s="71">
        <f>+'Note Table'!E56</f>
        <v>1716.1023868073585</v>
      </c>
      <c r="I102" s="71"/>
      <c r="J102" s="32"/>
      <c r="K102" s="1"/>
      <c r="L102" s="1"/>
      <c r="M102" s="1"/>
      <c r="N102" s="1"/>
      <c r="O102" s="1"/>
      <c r="P102" s="1"/>
      <c r="Q102" s="1"/>
      <c r="R102" s="1"/>
      <c r="S102" s="1"/>
      <c r="T102" s="1"/>
      <c r="U102" s="1"/>
      <c r="V102" s="1"/>
      <c r="W102" s="1"/>
      <c r="X102" s="1"/>
      <c r="Y102" s="1"/>
      <c r="Z102" s="1"/>
      <c r="AA102" s="1"/>
      <c r="AB102" s="1"/>
      <c r="AC102" s="1"/>
      <c r="AD102" s="1"/>
    </row>
    <row r="103" spans="1:30" x14ac:dyDescent="0.3">
      <c r="A103" s="1"/>
      <c r="B103" s="1" t="s">
        <v>66</v>
      </c>
      <c r="C103" s="1"/>
      <c r="D103" s="45">
        <f>+D82+D81</f>
        <v>7608.1054890117666</v>
      </c>
      <c r="E103" s="45">
        <f>+E82+E81</f>
        <v>7995.6639162026349</v>
      </c>
      <c r="F103" s="45">
        <f>+F82+F81</f>
        <v>8214.2111361810821</v>
      </c>
      <c r="G103" s="45">
        <f>+G82+G81</f>
        <v>8419.0482254013841</v>
      </c>
      <c r="I103" s="71"/>
      <c r="J103" s="32"/>
      <c r="K103" s="1"/>
      <c r="L103" s="1"/>
      <c r="M103" s="1"/>
      <c r="N103" s="1"/>
      <c r="O103" s="1"/>
      <c r="P103" s="1"/>
      <c r="Q103" s="1"/>
      <c r="R103" s="1"/>
      <c r="S103" s="1"/>
      <c r="T103" s="1"/>
      <c r="U103" s="1"/>
      <c r="V103" s="1"/>
      <c r="W103" s="1"/>
      <c r="X103" s="1"/>
      <c r="Y103" s="1"/>
      <c r="Z103" s="1"/>
      <c r="AA103" s="1"/>
      <c r="AB103" s="1"/>
      <c r="AC103" s="1"/>
      <c r="AD103" s="1"/>
    </row>
    <row r="104" spans="1:30" x14ac:dyDescent="0.3">
      <c r="A104" s="1"/>
      <c r="D104" s="229"/>
      <c r="E104" s="229"/>
      <c r="F104" s="229"/>
      <c r="G104" s="229"/>
      <c r="I104" s="71"/>
      <c r="J104" s="1"/>
      <c r="K104" s="1"/>
      <c r="L104" s="1"/>
      <c r="M104" s="1"/>
      <c r="N104" s="1"/>
      <c r="O104" s="1"/>
      <c r="P104" s="1"/>
      <c r="Q104" s="1"/>
      <c r="R104" s="1"/>
      <c r="S104" s="1"/>
      <c r="T104" s="1"/>
      <c r="U104" s="1"/>
      <c r="V104" s="1"/>
      <c r="W104" s="1"/>
      <c r="X104" s="1"/>
      <c r="Y104" s="1"/>
      <c r="Z104" s="1"/>
      <c r="AA104" s="1"/>
      <c r="AB104" s="1"/>
      <c r="AC104" s="1"/>
      <c r="AD104" s="1"/>
    </row>
    <row r="105" spans="1:30" x14ac:dyDescent="0.3">
      <c r="A105" s="1"/>
      <c r="B105" s="100" t="s">
        <v>138</v>
      </c>
      <c r="C105" s="1"/>
      <c r="D105" s="71">
        <f>+SUM(D101:D103)</f>
        <v>9563.4080449061112</v>
      </c>
      <c r="E105" s="71">
        <f>+SUM(E101:E103)</f>
        <v>9927.2037181598207</v>
      </c>
      <c r="F105" s="71">
        <f>+SUM(F101:F103)</f>
        <v>10131.492208070322</v>
      </c>
      <c r="G105" s="71">
        <f>+SUM(G101:G103)</f>
        <v>10322.095612208743</v>
      </c>
      <c r="I105" s="71"/>
      <c r="J105" s="1"/>
      <c r="K105" s="1"/>
      <c r="L105" s="1"/>
      <c r="M105" s="1"/>
      <c r="N105" s="1"/>
      <c r="O105" s="1"/>
      <c r="P105" s="1"/>
      <c r="Q105" s="1"/>
      <c r="R105" s="1"/>
      <c r="S105" s="1"/>
      <c r="T105" s="1"/>
      <c r="U105" s="1"/>
      <c r="V105" s="1"/>
      <c r="W105" s="1"/>
      <c r="X105" s="1"/>
      <c r="Y105" s="1"/>
      <c r="Z105" s="1"/>
      <c r="AA105" s="1"/>
      <c r="AB105" s="1"/>
      <c r="AC105" s="1"/>
      <c r="AD105" s="1"/>
    </row>
    <row r="106" spans="1:30" x14ac:dyDescent="0.3">
      <c r="A106" s="1"/>
      <c r="B106" s="1"/>
      <c r="C106" s="1"/>
      <c r="D106" s="71"/>
      <c r="E106" s="71"/>
      <c r="F106" s="71"/>
      <c r="G106" s="71"/>
      <c r="I106" s="71"/>
      <c r="J106" s="1"/>
      <c r="K106" s="1"/>
      <c r="L106" s="1"/>
      <c r="M106" s="1"/>
      <c r="N106" s="1"/>
      <c r="O106" s="1"/>
      <c r="P106" s="1"/>
      <c r="Q106" s="1"/>
      <c r="R106" s="1"/>
      <c r="S106" s="1"/>
      <c r="T106" s="1"/>
      <c r="U106" s="1"/>
      <c r="V106" s="1"/>
      <c r="W106" s="1"/>
      <c r="X106" s="1"/>
      <c r="Y106" s="1"/>
      <c r="Z106" s="1"/>
      <c r="AA106" s="1"/>
      <c r="AB106" s="1"/>
      <c r="AC106" s="1"/>
      <c r="AD106" s="1"/>
    </row>
    <row r="107" spans="1:30" x14ac:dyDescent="0.3">
      <c r="A107" s="1" t="s">
        <v>67</v>
      </c>
      <c r="B107" s="1" t="s">
        <v>68</v>
      </c>
      <c r="C107" s="1"/>
      <c r="D107" s="79"/>
      <c r="E107" s="79">
        <v>0</v>
      </c>
      <c r="F107" s="79">
        <v>0</v>
      </c>
      <c r="G107" s="79">
        <v>0</v>
      </c>
      <c r="I107" s="71"/>
      <c r="J107" s="1"/>
      <c r="K107" s="1"/>
      <c r="L107" s="1"/>
      <c r="M107" s="1"/>
      <c r="N107" s="1"/>
      <c r="O107" s="1"/>
      <c r="P107" s="1"/>
      <c r="Q107" s="1"/>
      <c r="R107" s="1"/>
      <c r="S107" s="1"/>
      <c r="T107" s="1"/>
      <c r="U107" s="1"/>
      <c r="V107" s="1"/>
      <c r="W107" s="1"/>
      <c r="X107" s="1"/>
      <c r="Y107" s="1"/>
      <c r="Z107" s="1"/>
      <c r="AA107" s="1"/>
      <c r="AB107" s="1"/>
      <c r="AC107" s="1"/>
      <c r="AD107" s="1"/>
    </row>
    <row r="108" spans="1:30" x14ac:dyDescent="0.3">
      <c r="A108" s="1"/>
      <c r="B108" s="1" t="s">
        <v>180</v>
      </c>
      <c r="C108" s="1"/>
      <c r="D108" s="102">
        <f>+'Note Table'!G14</f>
        <v>432720.19540226762</v>
      </c>
      <c r="E108" s="102">
        <f>+'Note Table'!G28</f>
        <v>425908.87170341256</v>
      </c>
      <c r="F108" s="102">
        <f>+'Note Table'!G42</f>
        <v>418749.06775703724</v>
      </c>
      <c r="G108" s="102">
        <f>+'Note Table'!G56</f>
        <v>411222.95465230412</v>
      </c>
      <c r="I108" s="71"/>
      <c r="J108" s="1"/>
      <c r="K108" s="1"/>
      <c r="L108" s="1"/>
      <c r="M108" s="1"/>
      <c r="N108" s="1"/>
      <c r="O108" s="1"/>
      <c r="P108" s="1"/>
      <c r="Q108" s="1"/>
      <c r="R108" s="1"/>
      <c r="S108" s="1"/>
      <c r="T108" s="1"/>
      <c r="U108" s="1"/>
      <c r="V108" s="1"/>
      <c r="W108" s="1"/>
      <c r="X108" s="1"/>
      <c r="Y108" s="1"/>
      <c r="Z108" s="1"/>
      <c r="AA108" s="1"/>
      <c r="AB108" s="1"/>
      <c r="AC108" s="1"/>
      <c r="AD108" s="1"/>
    </row>
    <row r="109" spans="1:30" x14ac:dyDescent="0.3">
      <c r="A109" s="1"/>
      <c r="B109" s="1"/>
      <c r="C109" s="1"/>
      <c r="D109" s="103"/>
      <c r="E109" s="103"/>
      <c r="F109" s="103"/>
      <c r="G109" s="103"/>
      <c r="I109" s="71"/>
      <c r="J109" s="1"/>
      <c r="K109" s="1"/>
      <c r="L109" s="1"/>
      <c r="M109" s="1"/>
      <c r="N109" s="1"/>
      <c r="O109" s="1"/>
      <c r="P109" s="1"/>
      <c r="Q109" s="1"/>
      <c r="R109" s="1"/>
      <c r="S109" s="1"/>
      <c r="T109" s="1"/>
      <c r="U109" s="1"/>
      <c r="V109" s="1"/>
      <c r="W109" s="1"/>
      <c r="X109" s="1"/>
      <c r="Y109" s="1"/>
      <c r="Z109" s="1"/>
      <c r="AA109" s="1"/>
      <c r="AB109" s="1"/>
      <c r="AC109" s="1"/>
      <c r="AD109" s="1"/>
    </row>
    <row r="110" spans="1:30" x14ac:dyDescent="0.3">
      <c r="A110" s="1"/>
      <c r="B110" s="100" t="s">
        <v>139</v>
      </c>
      <c r="C110" s="1"/>
      <c r="D110" s="71">
        <f>SUM(D107:D109)</f>
        <v>432720.19540226762</v>
      </c>
      <c r="E110" s="71">
        <f t="shared" ref="E110:G110" si="15">SUM(E107:E109)</f>
        <v>425908.87170341256</v>
      </c>
      <c r="F110" s="71">
        <f t="shared" si="15"/>
        <v>418749.06775703724</v>
      </c>
      <c r="G110" s="71">
        <f t="shared" si="15"/>
        <v>411222.95465230412</v>
      </c>
      <c r="I110" s="71"/>
      <c r="J110" s="1"/>
      <c r="K110" s="1"/>
      <c r="L110" s="1"/>
      <c r="M110" s="1"/>
      <c r="N110" s="1"/>
      <c r="O110" s="1"/>
      <c r="P110" s="1"/>
      <c r="Q110" s="1"/>
      <c r="R110" s="1"/>
      <c r="S110" s="1"/>
      <c r="T110" s="1"/>
      <c r="U110" s="1"/>
      <c r="V110" s="1"/>
      <c r="W110" s="1"/>
      <c r="X110" s="1"/>
      <c r="Y110" s="1"/>
      <c r="Z110" s="1"/>
      <c r="AA110" s="1"/>
      <c r="AB110" s="1"/>
      <c r="AC110" s="1"/>
      <c r="AD110" s="1"/>
    </row>
    <row r="111" spans="1:30" x14ac:dyDescent="0.3">
      <c r="A111" s="1"/>
      <c r="B111" s="100"/>
      <c r="C111" s="1"/>
      <c r="D111" s="71"/>
      <c r="E111" s="71"/>
      <c r="F111" s="71"/>
      <c r="G111" s="71"/>
      <c r="I111" s="71"/>
      <c r="J111" s="1"/>
      <c r="K111" s="1"/>
      <c r="L111" s="1"/>
      <c r="M111" s="1"/>
      <c r="N111" s="1"/>
      <c r="O111" s="1"/>
      <c r="P111" s="1"/>
      <c r="Q111" s="1"/>
      <c r="R111" s="1"/>
      <c r="S111" s="1"/>
      <c r="T111" s="1"/>
      <c r="U111" s="1"/>
      <c r="V111" s="1"/>
      <c r="W111" s="1"/>
      <c r="X111" s="1"/>
      <c r="Y111" s="1"/>
      <c r="Z111" s="1"/>
      <c r="AA111" s="1"/>
      <c r="AB111" s="1"/>
      <c r="AC111" s="1"/>
      <c r="AD111" s="1"/>
    </row>
    <row r="112" spans="1:30" ht="17.25" thickBot="1" x14ac:dyDescent="0.35">
      <c r="A112" s="1"/>
      <c r="B112" s="100" t="s">
        <v>150</v>
      </c>
      <c r="C112" s="1"/>
      <c r="D112" s="101">
        <f>+D105+D110</f>
        <v>442283.60344717372</v>
      </c>
      <c r="E112" s="101">
        <f t="shared" ref="E112:G112" si="16">+E105+E110</f>
        <v>435836.07542157237</v>
      </c>
      <c r="F112" s="101">
        <f t="shared" si="16"/>
        <v>428880.55996510753</v>
      </c>
      <c r="G112" s="101">
        <f t="shared" si="16"/>
        <v>421545.05026451289</v>
      </c>
      <c r="I112" s="71"/>
      <c r="J112" s="1"/>
      <c r="K112" s="1"/>
      <c r="L112" s="1"/>
      <c r="M112" s="1"/>
      <c r="N112" s="1"/>
      <c r="O112" s="1"/>
      <c r="P112" s="1"/>
      <c r="Q112" s="1"/>
      <c r="R112" s="1"/>
      <c r="S112" s="1"/>
      <c r="T112" s="1"/>
      <c r="U112" s="1"/>
      <c r="V112" s="1"/>
      <c r="W112" s="1"/>
      <c r="X112" s="1"/>
      <c r="Y112" s="1"/>
      <c r="Z112" s="1"/>
      <c r="AA112" s="1"/>
      <c r="AB112" s="1"/>
      <c r="AC112" s="1"/>
      <c r="AD112" s="1"/>
    </row>
    <row r="113" spans="1:30" x14ac:dyDescent="0.3">
      <c r="A113" s="1"/>
      <c r="B113" s="1"/>
      <c r="C113" s="1"/>
      <c r="D113" s="71"/>
      <c r="E113" s="71"/>
      <c r="F113" s="71"/>
      <c r="G113" s="71"/>
      <c r="I113" s="71"/>
      <c r="J113" s="80"/>
      <c r="K113" s="1"/>
      <c r="L113" s="1"/>
      <c r="M113" s="1"/>
      <c r="N113" s="1"/>
      <c r="O113" s="1"/>
      <c r="P113" s="1"/>
      <c r="Q113" s="1"/>
      <c r="R113" s="1"/>
      <c r="S113" s="1"/>
      <c r="T113" s="1"/>
      <c r="U113" s="1"/>
      <c r="V113" s="1"/>
      <c r="W113" s="1"/>
      <c r="X113" s="1"/>
      <c r="Y113" s="1"/>
      <c r="Z113" s="1"/>
      <c r="AA113" s="1"/>
      <c r="AB113" s="1"/>
      <c r="AC113" s="1"/>
      <c r="AD113" s="1"/>
    </row>
    <row r="114" spans="1:30" x14ac:dyDescent="0.3">
      <c r="A114" s="1" t="s">
        <v>31</v>
      </c>
      <c r="B114" s="1" t="s">
        <v>69</v>
      </c>
      <c r="C114" s="1"/>
      <c r="D114" s="71">
        <f>+E32</f>
        <v>109800</v>
      </c>
      <c r="E114" s="71">
        <f>+F32</f>
        <v>109800</v>
      </c>
      <c r="F114" s="71">
        <f>+G32</f>
        <v>109800</v>
      </c>
      <c r="G114" s="71">
        <f>+H32</f>
        <v>109800</v>
      </c>
      <c r="I114" s="71"/>
      <c r="J114" s="1"/>
      <c r="K114" s="1"/>
      <c r="L114" s="1"/>
      <c r="M114" s="1"/>
      <c r="N114" s="1"/>
      <c r="O114" s="1"/>
      <c r="P114" s="1"/>
      <c r="Q114" s="1"/>
      <c r="R114" s="1"/>
      <c r="S114" s="1"/>
      <c r="T114" s="1"/>
      <c r="U114" s="1"/>
      <c r="V114" s="1"/>
      <c r="W114" s="1"/>
      <c r="X114" s="1"/>
      <c r="Y114" s="1"/>
      <c r="Z114" s="1"/>
      <c r="AA114" s="1"/>
      <c r="AB114" s="1"/>
      <c r="AC114" s="1"/>
      <c r="AD114" s="1"/>
    </row>
    <row r="115" spans="1:30" x14ac:dyDescent="0.3">
      <c r="A115" s="1"/>
      <c r="B115" s="1" t="s">
        <v>70</v>
      </c>
      <c r="C115" s="1"/>
      <c r="D115" s="19">
        <f>+D83</f>
        <v>23258.985622822154</v>
      </c>
      <c r="E115" s="19">
        <f>+E83+D115</f>
        <v>48340.735919576204</v>
      </c>
      <c r="F115" s="19">
        <f>+F83+E115</f>
        <v>74419.731363872066</v>
      </c>
      <c r="G115" s="19">
        <f>+G83+F115</f>
        <v>101428.68536090531</v>
      </c>
      <c r="I115" s="71"/>
      <c r="J115" s="1"/>
      <c r="K115" s="1"/>
      <c r="L115" s="1"/>
      <c r="M115" s="1"/>
      <c r="N115" s="1"/>
      <c r="O115" s="1"/>
      <c r="P115" s="1"/>
      <c r="Q115" s="1"/>
      <c r="R115" s="1"/>
      <c r="S115" s="1"/>
      <c r="T115" s="1"/>
      <c r="U115" s="1"/>
      <c r="V115" s="1"/>
      <c r="W115" s="1"/>
      <c r="X115" s="1"/>
      <c r="Y115" s="1"/>
      <c r="Z115" s="1"/>
      <c r="AA115" s="1"/>
      <c r="AB115" s="1"/>
      <c r="AC115" s="1"/>
      <c r="AD115" s="1"/>
    </row>
    <row r="116" spans="1:30" x14ac:dyDescent="0.3">
      <c r="A116" s="1"/>
      <c r="B116" s="1"/>
      <c r="C116" s="1"/>
      <c r="D116" s="72"/>
      <c r="E116" s="72"/>
      <c r="F116" s="72"/>
      <c r="G116" s="72"/>
      <c r="I116" s="71"/>
      <c r="J116" s="1"/>
      <c r="K116" s="1"/>
      <c r="L116" s="1"/>
      <c r="M116" s="1"/>
      <c r="N116" s="1"/>
      <c r="O116" s="1"/>
      <c r="P116" s="1"/>
      <c r="Q116" s="1"/>
      <c r="R116" s="1"/>
      <c r="S116" s="1"/>
      <c r="T116" s="1"/>
      <c r="U116" s="1"/>
      <c r="V116" s="1"/>
      <c r="W116" s="1"/>
      <c r="X116" s="1"/>
      <c r="Y116" s="1"/>
      <c r="Z116" s="1"/>
      <c r="AA116" s="1"/>
      <c r="AB116" s="1"/>
      <c r="AC116" s="1"/>
      <c r="AD116" s="1"/>
    </row>
    <row r="117" spans="1:30" x14ac:dyDescent="0.3">
      <c r="A117" s="1"/>
      <c r="B117" s="100" t="s">
        <v>149</v>
      </c>
      <c r="C117" s="1"/>
      <c r="D117" s="19">
        <f>+SUM(D114:D116)</f>
        <v>133058.98562282216</v>
      </c>
      <c r="E117" s="19">
        <f t="shared" ref="E117:G117" si="17">+SUM(E114:E116)</f>
        <v>158140.7359195762</v>
      </c>
      <c r="F117" s="19">
        <f t="shared" si="17"/>
        <v>184219.73136387207</v>
      </c>
      <c r="G117" s="19">
        <f t="shared" si="17"/>
        <v>211228.68536090531</v>
      </c>
      <c r="I117" s="71"/>
      <c r="J117" s="1"/>
      <c r="K117" s="1"/>
      <c r="L117" s="1"/>
      <c r="M117" s="1"/>
      <c r="N117" s="1"/>
      <c r="O117" s="1"/>
      <c r="P117" s="1"/>
      <c r="Q117" s="1"/>
      <c r="R117" s="1"/>
      <c r="S117" s="1"/>
      <c r="T117" s="1"/>
      <c r="U117" s="1"/>
      <c r="V117" s="1"/>
      <c r="W117" s="1"/>
      <c r="X117" s="1"/>
      <c r="Y117" s="1"/>
      <c r="Z117" s="1"/>
      <c r="AA117" s="1"/>
      <c r="AB117" s="1"/>
      <c r="AC117" s="1"/>
      <c r="AD117" s="1"/>
    </row>
    <row r="118" spans="1:30" x14ac:dyDescent="0.3">
      <c r="A118" s="1"/>
      <c r="B118" s="1"/>
      <c r="C118" s="1"/>
      <c r="D118" s="19"/>
      <c r="E118" s="19"/>
      <c r="F118" s="19"/>
      <c r="G118" s="19"/>
      <c r="I118" s="71"/>
      <c r="J118" s="1"/>
      <c r="K118" s="1"/>
      <c r="L118" s="1"/>
      <c r="M118" s="1"/>
      <c r="N118" s="1"/>
      <c r="O118" s="1"/>
      <c r="P118" s="1"/>
      <c r="Q118" s="1"/>
      <c r="R118" s="1"/>
      <c r="S118" s="1"/>
      <c r="T118" s="1"/>
      <c r="U118" s="1"/>
      <c r="V118" s="1"/>
      <c r="W118" s="1"/>
      <c r="X118" s="1"/>
      <c r="Y118" s="1"/>
      <c r="Z118" s="1"/>
      <c r="AA118" s="1"/>
      <c r="AB118" s="1"/>
      <c r="AC118" s="1"/>
      <c r="AD118" s="1"/>
    </row>
    <row r="119" spans="1:30" ht="17.25" thickBot="1" x14ac:dyDescent="0.35">
      <c r="A119" s="20" t="s">
        <v>71</v>
      </c>
      <c r="B119" s="1"/>
      <c r="C119" s="1"/>
      <c r="D119" s="75">
        <f>+D112+D117</f>
        <v>575342.58906999591</v>
      </c>
      <c r="E119" s="75">
        <f t="shared" ref="E119:G119" si="18">+E112+E117</f>
        <v>593976.81134114857</v>
      </c>
      <c r="F119" s="75">
        <f t="shared" si="18"/>
        <v>613100.29132897966</v>
      </c>
      <c r="G119" s="75">
        <f t="shared" si="18"/>
        <v>632773.73562541814</v>
      </c>
      <c r="I119" s="71"/>
      <c r="J119" s="1"/>
      <c r="K119" s="1"/>
      <c r="L119" s="1"/>
      <c r="M119" s="1"/>
      <c r="N119" s="1"/>
      <c r="O119" s="1"/>
      <c r="P119" s="1"/>
      <c r="Q119" s="1"/>
      <c r="R119" s="1"/>
      <c r="S119" s="1"/>
      <c r="T119" s="1"/>
      <c r="U119" s="1"/>
      <c r="V119" s="1"/>
      <c r="W119" s="1"/>
      <c r="X119" s="1"/>
      <c r="Y119" s="1"/>
      <c r="Z119" s="1"/>
      <c r="AA119" s="1"/>
      <c r="AB119" s="1"/>
      <c r="AC119" s="1"/>
      <c r="AD119" s="1"/>
    </row>
    <row r="120" spans="1:30" ht="17.25" thickTop="1" x14ac:dyDescent="0.3">
      <c r="A120" s="1"/>
      <c r="B120" s="1"/>
      <c r="C120" s="1"/>
      <c r="D120" s="1"/>
      <c r="E120" s="1"/>
      <c r="F120" s="1"/>
      <c r="G120" s="1"/>
      <c r="I120" s="71"/>
      <c r="J120" s="1"/>
      <c r="K120" s="1"/>
      <c r="L120" s="1"/>
      <c r="M120" s="1"/>
      <c r="N120" s="1"/>
      <c r="O120" s="1"/>
      <c r="P120" s="1"/>
      <c r="Q120" s="1"/>
      <c r="R120" s="1"/>
      <c r="S120" s="1"/>
      <c r="T120" s="1"/>
      <c r="U120" s="1"/>
      <c r="V120" s="1"/>
      <c r="W120" s="1"/>
      <c r="X120" s="1"/>
      <c r="Y120" s="1"/>
      <c r="Z120" s="1"/>
      <c r="AA120" s="1"/>
      <c r="AB120" s="1"/>
      <c r="AC120" s="1"/>
      <c r="AD120" s="1"/>
    </row>
    <row r="121" spans="1:30" x14ac:dyDescent="0.3">
      <c r="A121" s="1"/>
      <c r="B121" s="1"/>
      <c r="C121" s="208" t="s">
        <v>72</v>
      </c>
      <c r="D121" s="19">
        <f>D98-D119</f>
        <v>0</v>
      </c>
      <c r="E121" s="19">
        <f>E98-E119</f>
        <v>0</v>
      </c>
      <c r="F121" s="19">
        <f>F98-F119</f>
        <v>0</v>
      </c>
      <c r="G121" s="19">
        <f>G98-G119</f>
        <v>0</v>
      </c>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3">
      <c r="A122" s="1"/>
      <c r="B122" s="1"/>
      <c r="C122" s="1"/>
      <c r="D122" s="19"/>
      <c r="E122" s="19"/>
      <c r="F122" s="19"/>
      <c r="G122" s="19"/>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3">
      <c r="A123" s="1"/>
      <c r="B123" s="1"/>
      <c r="C123" s="1"/>
      <c r="D123" s="19"/>
      <c r="E123" s="19"/>
      <c r="F123" s="19"/>
      <c r="G123" s="19"/>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3">
      <c r="A124" s="1"/>
      <c r="B124" s="1"/>
      <c r="C124" s="1"/>
      <c r="D124" s="19"/>
      <c r="E124" s="19"/>
      <c r="F124" s="19"/>
      <c r="G124" s="19"/>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3">
      <c r="A125" s="1"/>
      <c r="B125" s="1"/>
      <c r="C125" s="1"/>
      <c r="D125" s="19"/>
      <c r="E125" s="19"/>
      <c r="F125" s="19"/>
      <c r="G125" s="19"/>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3">
      <c r="A126" s="1"/>
      <c r="B126" s="1"/>
      <c r="C126" s="1"/>
      <c r="D126" s="19"/>
      <c r="E126" s="19"/>
      <c r="F126" s="19"/>
      <c r="G126" s="19"/>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3">
      <c r="A127" s="1"/>
      <c r="B127" s="1"/>
      <c r="C127" s="1"/>
      <c r="D127" s="19"/>
      <c r="E127" s="19"/>
      <c r="F127" s="19"/>
      <c r="G127" s="19"/>
      <c r="I127" s="1"/>
      <c r="J127" s="1"/>
      <c r="K127" s="1"/>
      <c r="L127" s="1"/>
      <c r="M127" s="1"/>
      <c r="N127" s="1"/>
      <c r="O127" s="1"/>
      <c r="P127" s="1"/>
      <c r="Q127" s="1"/>
      <c r="R127" s="1"/>
      <c r="S127" s="1"/>
      <c r="T127" s="1"/>
      <c r="U127" s="1"/>
      <c r="V127" s="1"/>
      <c r="W127" s="1"/>
      <c r="X127" s="1"/>
      <c r="Y127" s="1"/>
      <c r="Z127" s="1"/>
      <c r="AA127" s="1"/>
      <c r="AB127" s="1"/>
      <c r="AC127" s="1"/>
      <c r="AD127" s="1"/>
    </row>
    <row r="128" spans="1:30" ht="17.25" thickBot="1" x14ac:dyDescent="0.35"/>
    <row r="129" spans="1:13" ht="17.25" thickBot="1" x14ac:dyDescent="0.35">
      <c r="A129" s="161" t="s">
        <v>73</v>
      </c>
      <c r="B129" s="220"/>
      <c r="C129" s="162"/>
      <c r="D129" s="221"/>
      <c r="E129" s="221"/>
      <c r="F129" s="221"/>
      <c r="G129" s="221"/>
      <c r="H129" s="222"/>
    </row>
    <row r="130" spans="1:13" ht="17.25" thickBot="1" x14ac:dyDescent="0.35">
      <c r="A130" s="247" t="s">
        <v>74</v>
      </c>
      <c r="B130" s="248"/>
      <c r="C130" s="248"/>
      <c r="D130" s="105"/>
      <c r="E130" s="105"/>
      <c r="F130" s="105"/>
      <c r="G130" s="105"/>
      <c r="H130" s="106"/>
    </row>
    <row r="131" spans="1:13" ht="17.25" thickBot="1" x14ac:dyDescent="0.35">
      <c r="A131" s="107"/>
      <c r="B131" s="108" t="s">
        <v>75</v>
      </c>
      <c r="C131" s="111">
        <f>+G141</f>
        <v>3.0756806015458436</v>
      </c>
      <c r="D131" s="109"/>
      <c r="E131" s="236" t="s">
        <v>198</v>
      </c>
      <c r="F131" s="237"/>
      <c r="G131" s="237"/>
      <c r="H131" s="246"/>
    </row>
    <row r="132" spans="1:13" x14ac:dyDescent="0.3">
      <c r="A132" s="107"/>
      <c r="B132" s="108" t="s">
        <v>76</v>
      </c>
      <c r="C132" s="112">
        <v>1.5299999999999999E-2</v>
      </c>
      <c r="D132" s="109"/>
      <c r="E132" s="238" t="s">
        <v>199</v>
      </c>
      <c r="F132" s="239"/>
      <c r="G132" s="302"/>
      <c r="H132" s="303"/>
      <c r="I132" s="10" t="s">
        <v>197</v>
      </c>
      <c r="L132" s="235" t="s">
        <v>194</v>
      </c>
    </row>
    <row r="133" spans="1:13" x14ac:dyDescent="0.3">
      <c r="A133" s="107"/>
      <c r="B133" s="108" t="s">
        <v>77</v>
      </c>
      <c r="C133" s="112">
        <v>4.1399999999999999E-2</v>
      </c>
      <c r="D133" s="109"/>
      <c r="E133" s="238" t="s">
        <v>200</v>
      </c>
      <c r="F133" s="239"/>
      <c r="G133" s="312"/>
      <c r="H133" s="313"/>
      <c r="I133" s="10" t="s">
        <v>195</v>
      </c>
      <c r="M133" s="235" t="s">
        <v>196</v>
      </c>
    </row>
    <row r="134" spans="1:13" x14ac:dyDescent="0.3">
      <c r="A134" s="107"/>
      <c r="B134" s="108"/>
      <c r="C134" s="113"/>
      <c r="D134" s="109"/>
      <c r="E134" s="238" t="s">
        <v>35</v>
      </c>
      <c r="F134" s="239"/>
      <c r="G134" s="314"/>
      <c r="H134" s="315"/>
    </row>
    <row r="135" spans="1:13" x14ac:dyDescent="0.3">
      <c r="A135" s="107"/>
      <c r="B135" s="114" t="s">
        <v>78</v>
      </c>
      <c r="C135" s="115">
        <f>+C132+C131*(C137)</f>
        <v>9.5575263700346511E-2</v>
      </c>
      <c r="D135" s="109"/>
      <c r="E135" s="238" t="s">
        <v>201</v>
      </c>
      <c r="F135" s="239"/>
      <c r="G135" s="316"/>
      <c r="H135" s="317"/>
      <c r="I135" s="10">
        <v>1.1499999999999999</v>
      </c>
    </row>
    <row r="136" spans="1:13" ht="17.25" thickBot="1" x14ac:dyDescent="0.35">
      <c r="A136" s="107"/>
      <c r="B136" s="116"/>
      <c r="C136" s="117"/>
      <c r="D136" s="109"/>
      <c r="E136" s="240" t="s">
        <v>202</v>
      </c>
      <c r="F136" s="241"/>
      <c r="G136" s="318">
        <f>I141</f>
        <v>0.72333333333333327</v>
      </c>
      <c r="H136" s="319"/>
      <c r="I136" s="10" t="s">
        <v>192</v>
      </c>
      <c r="K136" s="235" t="s">
        <v>193</v>
      </c>
    </row>
    <row r="137" spans="1:13" x14ac:dyDescent="0.3">
      <c r="A137" s="107"/>
      <c r="B137" s="116" t="s">
        <v>151</v>
      </c>
      <c r="C137" s="118">
        <f>+C133-C132</f>
        <v>2.6099999999999998E-2</v>
      </c>
      <c r="D137" s="109"/>
      <c r="E137" s="238"/>
      <c r="F137" s="239"/>
      <c r="G137" s="304"/>
      <c r="H137" s="305"/>
      <c r="I137" s="10">
        <v>0.62</v>
      </c>
      <c r="J137" s="10" t="s">
        <v>229</v>
      </c>
    </row>
    <row r="138" spans="1:13" ht="17.25" thickBot="1" x14ac:dyDescent="0.35">
      <c r="A138" s="107"/>
      <c r="B138" s="116" t="s">
        <v>152</v>
      </c>
      <c r="C138" s="118">
        <f>+C137*C131</f>
        <v>8.0275263700346516E-2</v>
      </c>
      <c r="D138" s="109"/>
      <c r="E138" s="242" t="s">
        <v>203</v>
      </c>
      <c r="F138" s="243"/>
      <c r="G138" s="304"/>
      <c r="H138" s="305"/>
      <c r="J138" s="235" t="s">
        <v>230</v>
      </c>
    </row>
    <row r="139" spans="1:13" x14ac:dyDescent="0.3">
      <c r="A139" s="107"/>
      <c r="B139" s="116"/>
      <c r="C139" s="116"/>
      <c r="D139" s="109"/>
      <c r="E139" s="238" t="str">
        <f>+E132</f>
        <v>Debt %</v>
      </c>
      <c r="F139" s="239"/>
      <c r="G139" s="306">
        <f>+D202</f>
        <v>0.76482170061163557</v>
      </c>
      <c r="H139" s="307"/>
      <c r="I139" s="10">
        <v>0.4</v>
      </c>
      <c r="J139" s="10" t="s">
        <v>232</v>
      </c>
    </row>
    <row r="140" spans="1:13" x14ac:dyDescent="0.3">
      <c r="A140" s="107"/>
      <c r="B140" s="116" t="s">
        <v>153</v>
      </c>
      <c r="C140" s="118">
        <f>+C138+C132</f>
        <v>9.5575263700346511E-2</v>
      </c>
      <c r="D140" s="109"/>
      <c r="E140" s="238" t="str">
        <f>+E133</f>
        <v>Equity %</v>
      </c>
      <c r="F140" s="239"/>
      <c r="G140" s="308">
        <f>100%-G139</f>
        <v>0.23517829938836443</v>
      </c>
      <c r="H140" s="309"/>
      <c r="J140" s="235" t="s">
        <v>231</v>
      </c>
    </row>
    <row r="141" spans="1:13" ht="17.25" thickBot="1" x14ac:dyDescent="0.35">
      <c r="A141" s="107"/>
      <c r="B141" s="108"/>
      <c r="C141" s="119"/>
      <c r="D141" s="109"/>
      <c r="E141" s="244" t="s">
        <v>204</v>
      </c>
      <c r="F141" s="245"/>
      <c r="G141" s="310">
        <f>+(1+(1-G134)*(G139/G140))*G136</f>
        <v>3.0756806015458436</v>
      </c>
      <c r="H141" s="311"/>
      <c r="I141" s="10">
        <f>AVERAGE(I139,I137,I135)</f>
        <v>0.72333333333333327</v>
      </c>
      <c r="J141" s="10" t="s">
        <v>233</v>
      </c>
    </row>
    <row r="142" spans="1:13" x14ac:dyDescent="0.3">
      <c r="A142" s="107" t="s">
        <v>79</v>
      </c>
      <c r="B142" s="108"/>
      <c r="C142" s="120">
        <f>+((D82+D81)/D80)</f>
        <v>0.2464795098911976</v>
      </c>
      <c r="D142" s="109"/>
      <c r="E142" s="109"/>
      <c r="F142" s="109"/>
      <c r="G142" s="109"/>
      <c r="H142" s="110"/>
    </row>
    <row r="143" spans="1:13" ht="17.25" thickBot="1" x14ac:dyDescent="0.35">
      <c r="A143" s="121"/>
      <c r="B143" s="109"/>
      <c r="C143" s="109"/>
      <c r="D143" s="109"/>
      <c r="E143" s="109"/>
      <c r="F143" s="109"/>
      <c r="G143" s="109"/>
      <c r="H143" s="110"/>
    </row>
    <row r="144" spans="1:13" x14ac:dyDescent="0.3">
      <c r="A144" s="121"/>
      <c r="B144" s="122" t="s">
        <v>154</v>
      </c>
      <c r="C144" s="105"/>
      <c r="D144" s="106"/>
      <c r="E144" s="109"/>
      <c r="F144" s="109"/>
      <c r="G144" s="109"/>
      <c r="H144" s="110"/>
    </row>
    <row r="145" spans="1:8" x14ac:dyDescent="0.3">
      <c r="A145" s="121"/>
      <c r="B145" s="123" t="str">
        <f>+B89</f>
        <v>Cash</v>
      </c>
      <c r="C145" s="124">
        <f>+D89</f>
        <v>35227.355736662619</v>
      </c>
      <c r="D145" s="125"/>
      <c r="E145" s="109"/>
      <c r="F145" s="109"/>
      <c r="G145" s="109"/>
      <c r="H145" s="110"/>
    </row>
    <row r="146" spans="1:8" x14ac:dyDescent="0.3">
      <c r="A146" s="121"/>
      <c r="B146" s="123"/>
      <c r="C146" s="124"/>
      <c r="D146" s="125"/>
      <c r="E146" s="109"/>
      <c r="F146" s="109"/>
      <c r="G146" s="109"/>
      <c r="H146" s="110"/>
    </row>
    <row r="147" spans="1:8" x14ac:dyDescent="0.3">
      <c r="A147" s="121"/>
      <c r="B147" s="123"/>
      <c r="C147" s="124"/>
      <c r="D147" s="125"/>
      <c r="E147" s="109"/>
      <c r="F147" s="109"/>
      <c r="G147" s="109"/>
      <c r="H147" s="110"/>
    </row>
    <row r="148" spans="1:8" x14ac:dyDescent="0.3">
      <c r="A148" s="121"/>
      <c r="B148" s="123"/>
      <c r="C148" s="124"/>
      <c r="D148" s="125"/>
      <c r="E148" s="109"/>
      <c r="F148" s="109"/>
      <c r="G148" s="109"/>
      <c r="H148" s="110"/>
    </row>
    <row r="149" spans="1:8" x14ac:dyDescent="0.3">
      <c r="A149" s="121"/>
      <c r="B149" s="123"/>
      <c r="C149" s="124"/>
      <c r="D149" s="125"/>
      <c r="E149" s="109"/>
      <c r="F149" s="109"/>
      <c r="G149" s="109"/>
      <c r="H149" s="110"/>
    </row>
    <row r="150" spans="1:8" x14ac:dyDescent="0.3">
      <c r="A150" s="121"/>
      <c r="B150" s="123"/>
      <c r="C150" s="124"/>
      <c r="D150" s="125"/>
      <c r="E150" s="109"/>
      <c r="F150" s="109"/>
      <c r="G150" s="109"/>
      <c r="H150" s="110"/>
    </row>
    <row r="151" spans="1:8" x14ac:dyDescent="0.3">
      <c r="A151" s="121"/>
      <c r="B151" s="123"/>
      <c r="C151" s="124"/>
      <c r="D151" s="126">
        <f>+SUM(C144:C151)</f>
        <v>35227.355736662619</v>
      </c>
      <c r="E151" s="109"/>
      <c r="F151" s="109"/>
      <c r="G151" s="109"/>
      <c r="H151" s="110"/>
    </row>
    <row r="152" spans="1:8" x14ac:dyDescent="0.3">
      <c r="A152" s="121"/>
      <c r="B152" s="121"/>
      <c r="C152" s="127"/>
      <c r="D152" s="125"/>
      <c r="E152" s="109"/>
      <c r="F152" s="109"/>
      <c r="G152" s="109"/>
      <c r="H152" s="110"/>
    </row>
    <row r="153" spans="1:8" x14ac:dyDescent="0.3">
      <c r="A153" s="121"/>
      <c r="B153" s="121" t="s">
        <v>80</v>
      </c>
      <c r="C153" s="127"/>
      <c r="D153" s="125"/>
      <c r="E153" s="109"/>
      <c r="F153" s="109"/>
      <c r="G153" s="109"/>
      <c r="H153" s="110"/>
    </row>
    <row r="154" spans="1:8" x14ac:dyDescent="0.3">
      <c r="A154" s="121"/>
      <c r="B154" s="123" t="str">
        <f>+B102</f>
        <v>Interest Payable</v>
      </c>
      <c r="C154" s="124">
        <f>+D102</f>
        <v>1805.3025558943441</v>
      </c>
      <c r="D154" s="125"/>
      <c r="E154" s="109"/>
      <c r="F154" s="109"/>
      <c r="G154" s="109"/>
      <c r="H154" s="110"/>
    </row>
    <row r="155" spans="1:8" x14ac:dyDescent="0.3">
      <c r="A155" s="121"/>
      <c r="B155" s="123" t="str">
        <f>+B103</f>
        <v>Tax Payable</v>
      </c>
      <c r="C155" s="124">
        <f>+D103</f>
        <v>7608.1054890117666</v>
      </c>
      <c r="D155" s="125"/>
      <c r="E155" s="109"/>
      <c r="F155" s="109"/>
      <c r="G155" s="109"/>
      <c r="H155" s="110"/>
    </row>
    <row r="156" spans="1:8" x14ac:dyDescent="0.3">
      <c r="A156" s="121"/>
      <c r="B156" s="123" t="str">
        <f>+B101</f>
        <v>Accrued Mainteance Costs</v>
      </c>
      <c r="C156" s="124">
        <f>+D101</f>
        <v>150</v>
      </c>
      <c r="D156" s="125"/>
      <c r="E156" s="109"/>
      <c r="F156" s="109"/>
      <c r="G156" s="109"/>
      <c r="H156" s="110"/>
    </row>
    <row r="157" spans="1:8" x14ac:dyDescent="0.3">
      <c r="A157" s="121"/>
      <c r="B157" s="123"/>
      <c r="C157" s="124"/>
      <c r="D157" s="125"/>
      <c r="E157" s="109"/>
      <c r="F157" s="109"/>
      <c r="G157" s="109"/>
      <c r="H157" s="110"/>
    </row>
    <row r="158" spans="1:8" x14ac:dyDescent="0.3">
      <c r="A158" s="121"/>
      <c r="B158" s="123"/>
      <c r="C158" s="124"/>
      <c r="D158" s="125">
        <f>+-SUM(C154:C158)</f>
        <v>-9563.4080449061112</v>
      </c>
      <c r="E158" s="109"/>
      <c r="F158" s="109"/>
      <c r="G158" s="109"/>
      <c r="H158" s="110"/>
    </row>
    <row r="159" spans="1:8" x14ac:dyDescent="0.3">
      <c r="A159" s="121"/>
      <c r="B159" s="121"/>
      <c r="C159" s="127"/>
      <c r="D159" s="125"/>
      <c r="E159" s="109"/>
      <c r="F159" s="109"/>
      <c r="G159" s="109"/>
      <c r="H159" s="110"/>
    </row>
    <row r="160" spans="1:8" ht="45.75" x14ac:dyDescent="0.3">
      <c r="A160" s="121"/>
      <c r="B160" s="223" t="str">
        <f>+B93</f>
        <v>Building, net of accumulated depreciation</v>
      </c>
      <c r="C160" s="124">
        <f>+D93</f>
        <v>434033.33333333331</v>
      </c>
      <c r="D160" s="125"/>
      <c r="E160" s="109"/>
      <c r="F160" s="109"/>
      <c r="G160" s="109"/>
      <c r="H160" s="110"/>
    </row>
    <row r="161" spans="1:8" x14ac:dyDescent="0.3">
      <c r="A161" s="121"/>
      <c r="B161" s="223"/>
      <c r="C161" s="124"/>
      <c r="D161" s="125"/>
      <c r="E161" s="109"/>
      <c r="F161" s="109"/>
      <c r="G161" s="109"/>
      <c r="H161" s="110"/>
    </row>
    <row r="162" spans="1:8" ht="18" x14ac:dyDescent="0.4">
      <c r="A162" s="121"/>
      <c r="B162" s="123" t="str">
        <f>+B94</f>
        <v>Land</v>
      </c>
      <c r="C162" s="124">
        <f>+D94</f>
        <v>100000</v>
      </c>
      <c r="D162" s="128">
        <f>+SUM(C160:C162)</f>
        <v>534033.33333333326</v>
      </c>
      <c r="E162" s="109"/>
      <c r="F162" s="109"/>
      <c r="G162" s="109"/>
      <c r="H162" s="110"/>
    </row>
    <row r="163" spans="1:8" x14ac:dyDescent="0.3">
      <c r="A163" s="121"/>
      <c r="B163" s="121"/>
      <c r="C163" s="109"/>
      <c r="D163" s="110"/>
      <c r="E163" s="109"/>
      <c r="F163" s="109"/>
      <c r="G163" s="109"/>
      <c r="H163" s="110"/>
    </row>
    <row r="164" spans="1:8" ht="18.75" thickBot="1" x14ac:dyDescent="0.45">
      <c r="A164" s="121"/>
      <c r="B164" s="129" t="s">
        <v>155</v>
      </c>
      <c r="C164" s="130"/>
      <c r="D164" s="131">
        <f>+SUM(D151:D163)</f>
        <v>559697.28102508979</v>
      </c>
      <c r="E164" s="109"/>
      <c r="F164" s="109"/>
      <c r="G164" s="109"/>
      <c r="H164" s="110"/>
    </row>
    <row r="165" spans="1:8" x14ac:dyDescent="0.3">
      <c r="A165" s="121"/>
      <c r="B165" s="109"/>
      <c r="C165" s="109"/>
      <c r="D165" s="109"/>
      <c r="E165" s="109"/>
      <c r="F165" s="109"/>
      <c r="G165" s="109"/>
      <c r="H165" s="110"/>
    </row>
    <row r="166" spans="1:8" x14ac:dyDescent="0.3">
      <c r="A166" s="121"/>
      <c r="B166" s="132" t="s">
        <v>156</v>
      </c>
      <c r="C166" s="109"/>
      <c r="D166" s="109"/>
      <c r="E166" s="109"/>
      <c r="F166" s="109"/>
      <c r="G166" s="109"/>
      <c r="H166" s="110"/>
    </row>
    <row r="167" spans="1:8" x14ac:dyDescent="0.3">
      <c r="A167" s="121"/>
      <c r="B167" s="132"/>
      <c r="C167" s="109"/>
      <c r="D167" s="109"/>
      <c r="E167" s="109"/>
      <c r="F167" s="109"/>
      <c r="G167" s="109"/>
      <c r="H167" s="110"/>
    </row>
    <row r="168" spans="1:8" ht="17.25" thickBot="1" x14ac:dyDescent="0.35">
      <c r="A168" s="133"/>
      <c r="B168" s="134" t="s">
        <v>81</v>
      </c>
      <c r="C168" s="134" t="s">
        <v>157</v>
      </c>
      <c r="D168" s="134" t="s">
        <v>158</v>
      </c>
      <c r="E168" s="134" t="s">
        <v>159</v>
      </c>
      <c r="F168" s="134" t="s">
        <v>105</v>
      </c>
      <c r="G168" s="249"/>
      <c r="H168" s="135"/>
    </row>
    <row r="169" spans="1:8" x14ac:dyDescent="0.3">
      <c r="A169" s="121">
        <v>1</v>
      </c>
      <c r="B169" s="178" t="str">
        <f>+B108</f>
        <v>Note Payable for Building</v>
      </c>
      <c r="C169" s="137">
        <f>+D108</f>
        <v>432720.19540226762</v>
      </c>
      <c r="D169" s="138">
        <f t="shared" ref="D169:D178" si="19">+C169/$C$194</f>
        <v>0.76482170061163557</v>
      </c>
      <c r="E169" s="180">
        <f>+'Note Table'!E15</f>
        <v>21812.842221499403</v>
      </c>
      <c r="F169" s="183">
        <f>+E169/C169</f>
        <v>5.0408653104858286E-2</v>
      </c>
      <c r="G169" s="249"/>
      <c r="H169" s="139"/>
    </row>
    <row r="170" spans="1:8" x14ac:dyDescent="0.3">
      <c r="A170" s="121">
        <v>2</v>
      </c>
      <c r="B170" s="140"/>
      <c r="C170" s="141"/>
      <c r="D170" s="142">
        <f t="shared" si="19"/>
        <v>0</v>
      </c>
      <c r="E170" s="124"/>
      <c r="F170" s="125"/>
      <c r="G170" s="249"/>
      <c r="H170" s="143"/>
    </row>
    <row r="171" spans="1:8" x14ac:dyDescent="0.3">
      <c r="A171" s="121">
        <v>3</v>
      </c>
      <c r="B171" s="140"/>
      <c r="C171" s="141"/>
      <c r="D171" s="142">
        <f t="shared" si="19"/>
        <v>0</v>
      </c>
      <c r="E171" s="124"/>
      <c r="F171" s="125"/>
      <c r="G171" s="249"/>
      <c r="H171" s="110"/>
    </row>
    <row r="172" spans="1:8" x14ac:dyDescent="0.3">
      <c r="A172" s="121">
        <v>4</v>
      </c>
      <c r="B172" s="144"/>
      <c r="C172" s="141"/>
      <c r="D172" s="142">
        <f t="shared" si="19"/>
        <v>0</v>
      </c>
      <c r="E172" s="124"/>
      <c r="F172" s="125"/>
      <c r="G172" s="249"/>
      <c r="H172" s="110"/>
    </row>
    <row r="173" spans="1:8" x14ac:dyDescent="0.3">
      <c r="A173" s="121">
        <v>5</v>
      </c>
      <c r="B173" s="140"/>
      <c r="C173" s="141"/>
      <c r="D173" s="142">
        <f t="shared" si="19"/>
        <v>0</v>
      </c>
      <c r="E173" s="124"/>
      <c r="F173" s="125"/>
      <c r="G173" s="249"/>
      <c r="H173" s="110"/>
    </row>
    <row r="174" spans="1:8" x14ac:dyDescent="0.3">
      <c r="A174" s="121">
        <v>6</v>
      </c>
      <c r="B174" s="140"/>
      <c r="C174" s="141"/>
      <c r="D174" s="142">
        <f t="shared" si="19"/>
        <v>0</v>
      </c>
      <c r="E174" s="124"/>
      <c r="F174" s="125"/>
      <c r="G174" s="249"/>
      <c r="H174" s="110"/>
    </row>
    <row r="175" spans="1:8" x14ac:dyDescent="0.3">
      <c r="A175" s="121">
        <v>7</v>
      </c>
      <c r="B175" s="140"/>
      <c r="C175" s="141"/>
      <c r="D175" s="142">
        <f t="shared" si="19"/>
        <v>0</v>
      </c>
      <c r="E175" s="124"/>
      <c r="F175" s="125"/>
      <c r="G175" s="249"/>
      <c r="H175" s="110"/>
    </row>
    <row r="176" spans="1:8" x14ac:dyDescent="0.3">
      <c r="A176" s="121">
        <v>8</v>
      </c>
      <c r="B176" s="140"/>
      <c r="C176" s="141"/>
      <c r="D176" s="142">
        <f t="shared" si="19"/>
        <v>0</v>
      </c>
      <c r="E176" s="124"/>
      <c r="F176" s="125"/>
      <c r="G176" s="249"/>
      <c r="H176" s="110"/>
    </row>
    <row r="177" spans="1:8" x14ac:dyDescent="0.3">
      <c r="A177" s="121">
        <v>9</v>
      </c>
      <c r="B177" s="140"/>
      <c r="C177" s="141"/>
      <c r="D177" s="142">
        <f t="shared" si="19"/>
        <v>0</v>
      </c>
      <c r="E177" s="124"/>
      <c r="F177" s="125"/>
      <c r="G177" s="249"/>
      <c r="H177" s="110"/>
    </row>
    <row r="178" spans="1:8" ht="17.25" thickBot="1" x14ac:dyDescent="0.35">
      <c r="A178" s="121">
        <v>10</v>
      </c>
      <c r="B178" s="145"/>
      <c r="C178" s="146"/>
      <c r="D178" s="179">
        <f t="shared" si="19"/>
        <v>0</v>
      </c>
      <c r="E178" s="181"/>
      <c r="F178" s="182"/>
      <c r="G178" s="249"/>
      <c r="H178" s="110"/>
    </row>
    <row r="179" spans="1:8" x14ac:dyDescent="0.3">
      <c r="A179" s="121"/>
      <c r="B179" s="147" t="s">
        <v>125</v>
      </c>
      <c r="C179" s="148">
        <f>SUM(C169:C178)</f>
        <v>432720.19540226762</v>
      </c>
      <c r="D179" s="149">
        <f>+SUM(D169:D178)</f>
        <v>0.76482170061163557</v>
      </c>
      <c r="E179" s="150">
        <f>+SUM(E169:E178)</f>
        <v>21812.842221499403</v>
      </c>
      <c r="F179" s="151">
        <f>+E179/C179</f>
        <v>5.0408653104858286E-2</v>
      </c>
      <c r="G179" s="249"/>
      <c r="H179" s="152"/>
    </row>
    <row r="180" spans="1:8" x14ac:dyDescent="0.3">
      <c r="A180" s="153"/>
      <c r="B180" s="154"/>
      <c r="C180" s="155"/>
      <c r="D180" s="155"/>
      <c r="E180" s="155"/>
      <c r="F180" s="154"/>
      <c r="G180" s="154"/>
      <c r="H180" s="156"/>
    </row>
    <row r="181" spans="1:8" ht="17.25" thickBot="1" x14ac:dyDescent="0.35">
      <c r="A181" s="121"/>
      <c r="B181" s="134" t="s">
        <v>160</v>
      </c>
      <c r="C181" s="134" t="s">
        <v>161</v>
      </c>
      <c r="D181" s="134" t="s">
        <v>158</v>
      </c>
      <c r="E181" s="157"/>
      <c r="F181" s="109"/>
      <c r="G181" s="109"/>
      <c r="H181" s="110"/>
    </row>
    <row r="182" spans="1:8" x14ac:dyDescent="0.3">
      <c r="A182" s="121">
        <f>+A169</f>
        <v>1</v>
      </c>
      <c r="B182" s="136" t="str">
        <f>+B114</f>
        <v>Shareholder Capital</v>
      </c>
      <c r="C182" s="137">
        <f>+D114</f>
        <v>109800</v>
      </c>
      <c r="D182" s="183">
        <f t="shared" ref="D182:D191" si="20">+C182/$C$194</f>
        <v>0.19406864671312615</v>
      </c>
      <c r="E182" s="157"/>
      <c r="F182" s="109"/>
      <c r="G182" s="109"/>
      <c r="H182" s="110"/>
    </row>
    <row r="183" spans="1:8" x14ac:dyDescent="0.3">
      <c r="A183" s="121">
        <f t="shared" ref="A183:A191" si="21">+A170</f>
        <v>2</v>
      </c>
      <c r="B183" s="140" t="str">
        <f>+B115</f>
        <v>Retained Earnings</v>
      </c>
      <c r="C183" s="141">
        <f>+D115</f>
        <v>23258.985622822154</v>
      </c>
      <c r="D183" s="152">
        <f t="shared" si="20"/>
        <v>4.1109652675238188E-2</v>
      </c>
      <c r="E183" s="157"/>
      <c r="F183" s="109"/>
      <c r="G183" s="109"/>
      <c r="H183" s="110"/>
    </row>
    <row r="184" spans="1:8" x14ac:dyDescent="0.3">
      <c r="A184" s="121">
        <f t="shared" si="21"/>
        <v>3</v>
      </c>
      <c r="B184" s="140"/>
      <c r="C184" s="141"/>
      <c r="D184" s="152">
        <f t="shared" si="20"/>
        <v>0</v>
      </c>
      <c r="E184" s="157"/>
      <c r="F184" s="109"/>
      <c r="G184" s="109"/>
      <c r="H184" s="110"/>
    </row>
    <row r="185" spans="1:8" x14ac:dyDescent="0.3">
      <c r="A185" s="121">
        <f t="shared" si="21"/>
        <v>4</v>
      </c>
      <c r="B185" s="140"/>
      <c r="C185" s="141"/>
      <c r="D185" s="152">
        <f t="shared" si="20"/>
        <v>0</v>
      </c>
      <c r="E185" s="157"/>
      <c r="F185" s="109"/>
      <c r="G185" s="109"/>
      <c r="H185" s="110"/>
    </row>
    <row r="186" spans="1:8" x14ac:dyDescent="0.3">
      <c r="A186" s="121">
        <f t="shared" si="21"/>
        <v>5</v>
      </c>
      <c r="B186" s="140"/>
      <c r="C186" s="141"/>
      <c r="D186" s="152">
        <f t="shared" si="20"/>
        <v>0</v>
      </c>
      <c r="E186" s="157"/>
      <c r="F186" s="109"/>
      <c r="G186" s="109"/>
      <c r="H186" s="110"/>
    </row>
    <row r="187" spans="1:8" x14ac:dyDescent="0.3">
      <c r="A187" s="121">
        <f t="shared" si="21"/>
        <v>6</v>
      </c>
      <c r="B187" s="140"/>
      <c r="C187" s="141"/>
      <c r="D187" s="152">
        <f t="shared" si="20"/>
        <v>0</v>
      </c>
      <c r="E187" s="157"/>
      <c r="F187" s="109"/>
      <c r="G187" s="109"/>
      <c r="H187" s="110"/>
    </row>
    <row r="188" spans="1:8" x14ac:dyDescent="0.3">
      <c r="A188" s="121">
        <f t="shared" si="21"/>
        <v>7</v>
      </c>
      <c r="B188" s="140"/>
      <c r="C188" s="141"/>
      <c r="D188" s="152">
        <f t="shared" si="20"/>
        <v>0</v>
      </c>
      <c r="E188" s="157"/>
      <c r="F188" s="109"/>
      <c r="G188" s="109"/>
      <c r="H188" s="110"/>
    </row>
    <row r="189" spans="1:8" x14ac:dyDescent="0.3">
      <c r="A189" s="121">
        <f t="shared" si="21"/>
        <v>8</v>
      </c>
      <c r="B189" s="140"/>
      <c r="C189" s="141"/>
      <c r="D189" s="152">
        <f t="shared" si="20"/>
        <v>0</v>
      </c>
      <c r="E189" s="157"/>
      <c r="F189" s="109"/>
      <c r="G189" s="109"/>
      <c r="H189" s="110"/>
    </row>
    <row r="190" spans="1:8" x14ac:dyDescent="0.3">
      <c r="A190" s="121">
        <f t="shared" si="21"/>
        <v>9</v>
      </c>
      <c r="B190" s="140"/>
      <c r="C190" s="141"/>
      <c r="D190" s="152">
        <f t="shared" si="20"/>
        <v>0</v>
      </c>
      <c r="E190" s="157"/>
      <c r="F190" s="109"/>
      <c r="G190" s="109"/>
      <c r="H190" s="110"/>
    </row>
    <row r="191" spans="1:8" ht="17.25" thickBot="1" x14ac:dyDescent="0.35">
      <c r="A191" s="121">
        <f t="shared" si="21"/>
        <v>10</v>
      </c>
      <c r="B191" s="145"/>
      <c r="C191" s="146"/>
      <c r="D191" s="184">
        <f t="shared" si="20"/>
        <v>0</v>
      </c>
      <c r="E191" s="157"/>
      <c r="F191" s="109"/>
      <c r="G191" s="109"/>
      <c r="H191" s="110"/>
    </row>
    <row r="192" spans="1:8" x14ac:dyDescent="0.3">
      <c r="A192" s="121"/>
      <c r="B192" s="147" t="s">
        <v>162</v>
      </c>
      <c r="C192" s="148">
        <f>+SUM(C182:C191)</f>
        <v>133058.98562282216</v>
      </c>
      <c r="D192" s="151">
        <f>+SUM(D182:D191)</f>
        <v>0.23517829938836435</v>
      </c>
      <c r="E192" s="157"/>
      <c r="F192" s="109"/>
      <c r="G192" s="109"/>
      <c r="H192" s="110"/>
    </row>
    <row r="193" spans="1:8" ht="17.25" thickBot="1" x14ac:dyDescent="0.35">
      <c r="A193" s="153"/>
      <c r="B193" s="154"/>
      <c r="C193" s="155"/>
      <c r="D193" s="155"/>
      <c r="E193" s="155"/>
      <c r="F193" s="154"/>
      <c r="G193" s="154"/>
      <c r="H193" s="156"/>
    </row>
    <row r="194" spans="1:8" ht="17.25" thickBot="1" x14ac:dyDescent="0.35">
      <c r="A194" s="158" t="s">
        <v>82</v>
      </c>
      <c r="B194" s="147"/>
      <c r="C194" s="159">
        <f>+C179+C192</f>
        <v>565779.18102508981</v>
      </c>
      <c r="D194" s="127"/>
      <c r="E194" s="160" t="s">
        <v>163</v>
      </c>
      <c r="F194" s="160">
        <f>+C194-D164</f>
        <v>6081.9000000000233</v>
      </c>
      <c r="G194" s="165"/>
      <c r="H194" s="125"/>
    </row>
    <row r="195" spans="1:8" ht="17.25" thickBot="1" x14ac:dyDescent="0.35">
      <c r="A195" s="153"/>
      <c r="B195" s="154"/>
      <c r="C195" s="154"/>
      <c r="D195" s="154"/>
      <c r="E195" s="154"/>
      <c r="F195" s="154"/>
      <c r="G195" s="154"/>
      <c r="H195" s="156"/>
    </row>
    <row r="196" spans="1:8" ht="17.25" thickBot="1" x14ac:dyDescent="0.35">
      <c r="A196" s="161" t="s">
        <v>164</v>
      </c>
      <c r="B196" s="162"/>
      <c r="C196" s="163">
        <f>+D201*D199+((D202*D200)*(1-D203))</f>
        <v>5.152817950492812E-2</v>
      </c>
      <c r="D196" s="164"/>
      <c r="E196" s="164"/>
      <c r="F196" s="165"/>
      <c r="G196" s="165"/>
      <c r="H196" s="166"/>
    </row>
    <row r="197" spans="1:8" ht="17.25" thickBot="1" x14ac:dyDescent="0.35">
      <c r="A197" s="167"/>
      <c r="B197" s="168"/>
      <c r="C197" s="169"/>
      <c r="D197" s="169"/>
      <c r="E197" s="169"/>
      <c r="F197" s="170"/>
      <c r="G197" s="170"/>
      <c r="H197" s="171"/>
    </row>
    <row r="198" spans="1:8" x14ac:dyDescent="0.3">
      <c r="A198" s="107"/>
      <c r="B198" s="108"/>
      <c r="C198" s="108"/>
      <c r="D198" s="108"/>
      <c r="E198" s="108"/>
      <c r="F198" s="109"/>
      <c r="G198" s="109"/>
      <c r="H198" s="110"/>
    </row>
    <row r="199" spans="1:8" x14ac:dyDescent="0.3">
      <c r="A199" s="107" t="s">
        <v>165</v>
      </c>
      <c r="B199" s="108" t="s">
        <v>166</v>
      </c>
      <c r="C199" s="109"/>
      <c r="D199" s="172">
        <f>+C135</f>
        <v>9.5575263700346511E-2</v>
      </c>
      <c r="E199" s="173"/>
      <c r="F199" s="173"/>
      <c r="G199" s="173"/>
      <c r="H199" s="174"/>
    </row>
    <row r="200" spans="1:8" x14ac:dyDescent="0.3">
      <c r="A200" s="107" t="s">
        <v>167</v>
      </c>
      <c r="B200" s="108" t="s">
        <v>168</v>
      </c>
      <c r="C200" s="109"/>
      <c r="D200" s="172">
        <f>+F179</f>
        <v>5.0408653104858286E-2</v>
      </c>
      <c r="E200" s="173"/>
      <c r="F200" s="173"/>
      <c r="G200" s="173"/>
      <c r="H200" s="174"/>
    </row>
    <row r="201" spans="1:8" x14ac:dyDescent="0.3">
      <c r="A201" s="107" t="s">
        <v>169</v>
      </c>
      <c r="B201" s="108" t="s">
        <v>170</v>
      </c>
      <c r="C201" s="109"/>
      <c r="D201" s="172">
        <f>+D192</f>
        <v>0.23517829938836435</v>
      </c>
      <c r="E201" s="173"/>
      <c r="F201" s="173"/>
      <c r="G201" s="173"/>
      <c r="H201" s="174"/>
    </row>
    <row r="202" spans="1:8" x14ac:dyDescent="0.3">
      <c r="A202" s="107" t="s">
        <v>171</v>
      </c>
      <c r="B202" s="108" t="s">
        <v>172</v>
      </c>
      <c r="C202" s="109"/>
      <c r="D202" s="172">
        <f>+D179</f>
        <v>0.76482170061163557</v>
      </c>
      <c r="E202" s="173"/>
      <c r="F202" s="173"/>
      <c r="G202" s="173"/>
      <c r="H202" s="174"/>
    </row>
    <row r="203" spans="1:8" x14ac:dyDescent="0.3">
      <c r="A203" s="107" t="s">
        <v>173</v>
      </c>
      <c r="B203" s="108" t="s">
        <v>174</v>
      </c>
      <c r="C203" s="109"/>
      <c r="D203" s="172">
        <f>+C142</f>
        <v>0.2464795098911976</v>
      </c>
      <c r="E203" s="173"/>
      <c r="F203" s="173"/>
      <c r="G203" s="173"/>
      <c r="H203" s="174"/>
    </row>
    <row r="204" spans="1:8" x14ac:dyDescent="0.3">
      <c r="A204" s="107"/>
      <c r="B204" s="108"/>
      <c r="C204" s="108"/>
      <c r="D204" s="108"/>
      <c r="E204" s="108"/>
      <c r="F204" s="109"/>
      <c r="G204" s="109"/>
      <c r="H204" s="110"/>
    </row>
    <row r="205" spans="1:8" ht="17.25" thickBot="1" x14ac:dyDescent="0.35">
      <c r="A205" s="175" t="s">
        <v>175</v>
      </c>
      <c r="B205" s="176"/>
      <c r="C205" s="176"/>
      <c r="D205" s="176"/>
      <c r="E205" s="176"/>
      <c r="F205" s="130"/>
      <c r="G205" s="130"/>
      <c r="H205" s="177"/>
    </row>
    <row r="207" spans="1:8" x14ac:dyDescent="0.3">
      <c r="A207" t="s">
        <v>234</v>
      </c>
      <c r="B207"/>
      <c r="C207" s="273">
        <v>2011</v>
      </c>
      <c r="D207" s="273">
        <v>2012</v>
      </c>
      <c r="E207" s="273">
        <v>2013</v>
      </c>
      <c r="F207" s="273">
        <v>2014</v>
      </c>
      <c r="G207" s="273">
        <v>2015</v>
      </c>
    </row>
    <row r="208" spans="1:8" x14ac:dyDescent="0.3">
      <c r="A208" t="s">
        <v>127</v>
      </c>
      <c r="B208"/>
      <c r="C208">
        <v>0</v>
      </c>
      <c r="D208">
        <v>1</v>
      </c>
      <c r="E208">
        <v>2</v>
      </c>
      <c r="F208">
        <v>3</v>
      </c>
      <c r="G208">
        <v>4</v>
      </c>
    </row>
    <row r="209" spans="1:9" x14ac:dyDescent="0.3">
      <c r="A209"/>
      <c r="B209"/>
      <c r="C209"/>
      <c r="D209"/>
      <c r="E209"/>
      <c r="F209"/>
      <c r="G209"/>
    </row>
    <row r="210" spans="1:9" x14ac:dyDescent="0.3">
      <c r="A210" t="s">
        <v>235</v>
      </c>
      <c r="B210"/>
      <c r="C210"/>
      <c r="D210"/>
      <c r="E210"/>
      <c r="F210"/>
      <c r="G210"/>
    </row>
    <row r="211" spans="1:9" x14ac:dyDescent="0.3">
      <c r="A211"/>
      <c r="B211" s="275" t="str">
        <f>B90</f>
        <v>Accounts recievable</v>
      </c>
      <c r="C211"/>
      <c r="D211" s="85">
        <f>D90</f>
        <v>6081.9</v>
      </c>
      <c r="E211" s="85">
        <f t="shared" ref="E211:G211" si="22">E90</f>
        <v>6264.357</v>
      </c>
      <c r="F211" s="85">
        <f t="shared" si="22"/>
        <v>6452.2877099999996</v>
      </c>
      <c r="G211" s="85">
        <f t="shared" si="22"/>
        <v>6645.8563413000002</v>
      </c>
    </row>
    <row r="212" spans="1:9" x14ac:dyDescent="0.3">
      <c r="A212"/>
      <c r="B212" s="1" t="s">
        <v>188</v>
      </c>
      <c r="C212" s="276"/>
      <c r="D212" s="276">
        <f>D101</f>
        <v>150</v>
      </c>
      <c r="E212" s="276">
        <f t="shared" ref="E212:G212" si="23">E101</f>
        <v>154.5</v>
      </c>
      <c r="F212" s="276">
        <f t="shared" si="23"/>
        <v>169.95</v>
      </c>
      <c r="G212" s="276">
        <f t="shared" si="23"/>
        <v>186.94500000000002</v>
      </c>
    </row>
    <row r="213" spans="1:9" x14ac:dyDescent="0.3">
      <c r="A213"/>
      <c r="B213" s="1" t="s">
        <v>65</v>
      </c>
      <c r="C213"/>
      <c r="D213" s="287">
        <f>D102</f>
        <v>1805.3025558943441</v>
      </c>
      <c r="E213" s="287">
        <f t="shared" ref="E213:G213" si="24">E102</f>
        <v>1777.039801957186</v>
      </c>
      <c r="F213" s="287">
        <f t="shared" si="24"/>
        <v>1747.3310718892387</v>
      </c>
      <c r="G213" s="287">
        <f t="shared" si="24"/>
        <v>1716.1023868073585</v>
      </c>
    </row>
    <row r="214" spans="1:9" x14ac:dyDescent="0.3">
      <c r="A214"/>
      <c r="B214" s="1" t="s">
        <v>66</v>
      </c>
      <c r="C214"/>
      <c r="D214" s="85">
        <f>D221+D222</f>
        <v>13860.621999999999</v>
      </c>
      <c r="E214" s="85">
        <f t="shared" ref="E214:G214" si="25">E221+E222</f>
        <v>14191.822179999996</v>
      </c>
      <c r="F214" s="85">
        <f t="shared" si="25"/>
        <v>14351.1277579</v>
      </c>
      <c r="G214" s="85">
        <f t="shared" si="25"/>
        <v>14493.692290199497</v>
      </c>
    </row>
    <row r="215" spans="1:9" x14ac:dyDescent="0.3">
      <c r="A215"/>
      <c r="B215" s="274"/>
      <c r="C215"/>
      <c r="D215"/>
      <c r="E215"/>
      <c r="F215"/>
      <c r="G215"/>
    </row>
    <row r="216" spans="1:9" x14ac:dyDescent="0.3">
      <c r="A216"/>
      <c r="B216" s="274"/>
      <c r="C216"/>
      <c r="D216"/>
      <c r="E216"/>
      <c r="F216"/>
      <c r="G216"/>
    </row>
    <row r="217" spans="1:9" x14ac:dyDescent="0.3">
      <c r="A217" s="90" t="s">
        <v>236</v>
      </c>
      <c r="B217" s="274"/>
      <c r="C217"/>
      <c r="D217"/>
      <c r="E217"/>
      <c r="F217"/>
      <c r="G217"/>
    </row>
    <row r="218" spans="1:9" x14ac:dyDescent="0.3">
      <c r="A218"/>
      <c r="B218" s="274" t="s">
        <v>237</v>
      </c>
      <c r="C218">
        <f>C161</f>
        <v>0</v>
      </c>
      <c r="D218" s="85">
        <f>D73</f>
        <v>67646.599999999991</v>
      </c>
      <c r="E218" s="85">
        <f t="shared" ref="E218:G218" si="26">E73</f>
        <v>69525.40399999998</v>
      </c>
      <c r="F218" s="85">
        <f t="shared" si="26"/>
        <v>70392.716119999997</v>
      </c>
      <c r="G218" s="85">
        <f t="shared" si="26"/>
        <v>71161.202603599988</v>
      </c>
    </row>
    <row r="219" spans="1:9" x14ac:dyDescent="0.3">
      <c r="A219"/>
      <c r="B219" s="277"/>
      <c r="C219"/>
      <c r="D219"/>
      <c r="E219"/>
      <c r="F219"/>
      <c r="G219"/>
    </row>
    <row r="220" spans="1:9" x14ac:dyDescent="0.3">
      <c r="A220"/>
      <c r="B220" s="275" t="s">
        <v>238</v>
      </c>
      <c r="C220" s="275"/>
      <c r="D220" s="85">
        <f>D218-D219</f>
        <v>67646.599999999991</v>
      </c>
      <c r="E220">
        <f t="shared" ref="E220:G220" si="27">E218-E219</f>
        <v>69525.40399999998</v>
      </c>
      <c r="F220">
        <f t="shared" si="27"/>
        <v>70392.716119999997</v>
      </c>
      <c r="G220">
        <f t="shared" si="27"/>
        <v>71161.202603599988</v>
      </c>
      <c r="H220" s="10">
        <v>0.17</v>
      </c>
      <c r="I220" s="10" t="s">
        <v>250</v>
      </c>
    </row>
    <row r="221" spans="1:9" x14ac:dyDescent="0.3">
      <c r="A221"/>
      <c r="B221" s="274" t="s">
        <v>34</v>
      </c>
      <c r="C221" s="275"/>
      <c r="D221" s="85">
        <f>D220*$H$220</f>
        <v>11499.921999999999</v>
      </c>
      <c r="E221" s="85">
        <f t="shared" ref="E221:G221" si="28">E220*$H$220</f>
        <v>11819.318679999997</v>
      </c>
      <c r="F221" s="85">
        <f t="shared" si="28"/>
        <v>11966.761740400001</v>
      </c>
      <c r="G221" s="85">
        <f t="shared" si="28"/>
        <v>12097.404442611998</v>
      </c>
    </row>
    <row r="222" spans="1:9" x14ac:dyDescent="0.3">
      <c r="A222"/>
      <c r="B222" s="274" t="s">
        <v>251</v>
      </c>
      <c r="C222" s="275"/>
      <c r="D222" s="85">
        <f>D82</f>
        <v>2360.6999999999998</v>
      </c>
      <c r="E222" s="85">
        <f t="shared" ref="E222:G222" si="29">E82</f>
        <v>2372.5034999999993</v>
      </c>
      <c r="F222" s="85">
        <f t="shared" si="29"/>
        <v>2384.3660174999991</v>
      </c>
      <c r="G222" s="85">
        <f t="shared" si="29"/>
        <v>2396.2878475874986</v>
      </c>
    </row>
    <row r="223" spans="1:9" x14ac:dyDescent="0.3">
      <c r="A223"/>
      <c r="B223" s="277" t="s">
        <v>239</v>
      </c>
      <c r="C223"/>
      <c r="D223" s="278">
        <f>E28</f>
        <v>14966.666666666666</v>
      </c>
      <c r="E223" s="278">
        <f t="shared" ref="E223:G223" si="30">F28</f>
        <v>14966.666666666666</v>
      </c>
      <c r="F223" s="278">
        <f t="shared" si="30"/>
        <v>14966.666666666666</v>
      </c>
      <c r="G223" s="278">
        <f t="shared" si="30"/>
        <v>14966.666666666666</v>
      </c>
    </row>
    <row r="224" spans="1:9" x14ac:dyDescent="0.3">
      <c r="A224" s="90"/>
      <c r="B224" s="279" t="s">
        <v>240</v>
      </c>
      <c r="C224" s="90"/>
      <c r="D224" s="280">
        <f>D220-D221-D222+D223</f>
        <v>68752.64466666666</v>
      </c>
      <c r="E224" s="280">
        <f t="shared" ref="E224:G224" si="31">E220-E221-E222+E223</f>
        <v>70300.248486666649</v>
      </c>
      <c r="F224" s="280">
        <f t="shared" si="31"/>
        <v>71008.255028766667</v>
      </c>
      <c r="G224" s="280">
        <f t="shared" si="31"/>
        <v>71634.176980067161</v>
      </c>
    </row>
    <row r="225" spans="1:12" x14ac:dyDescent="0.3">
      <c r="A225"/>
      <c r="B225" s="274"/>
      <c r="C225"/>
      <c r="D225"/>
      <c r="E225"/>
      <c r="F225"/>
      <c r="G225"/>
    </row>
    <row r="226" spans="1:12" x14ac:dyDescent="0.3">
      <c r="A226" s="90" t="s">
        <v>241</v>
      </c>
      <c r="B226" s="274"/>
      <c r="C226"/>
      <c r="D226"/>
      <c r="E226"/>
      <c r="F226"/>
      <c r="G226"/>
    </row>
    <row r="227" spans="1:12" x14ac:dyDescent="0.3">
      <c r="A227"/>
      <c r="B227" s="275" t="str">
        <f>B211</f>
        <v>Accounts recievable</v>
      </c>
      <c r="C227"/>
      <c r="D227" s="85">
        <f>-(D211-C211)</f>
        <v>-6081.9</v>
      </c>
      <c r="E227" s="85">
        <f t="shared" ref="E227:G227" si="32">-(E211-D211)</f>
        <v>-182.45700000000033</v>
      </c>
      <c r="F227" s="85">
        <f t="shared" si="32"/>
        <v>-187.93070999999964</v>
      </c>
      <c r="G227" s="85">
        <f t="shared" si="32"/>
        <v>-193.56863130000056</v>
      </c>
    </row>
    <row r="228" spans="1:12" x14ac:dyDescent="0.3">
      <c r="A228"/>
      <c r="B228" s="1" t="s">
        <v>188</v>
      </c>
      <c r="C228"/>
      <c r="D228" s="85">
        <f t="shared" ref="D228:G230" si="33">D212-C212</f>
        <v>150</v>
      </c>
      <c r="E228" s="85">
        <f t="shared" si="33"/>
        <v>4.5</v>
      </c>
      <c r="F228" s="85">
        <f t="shared" si="33"/>
        <v>15.449999999999989</v>
      </c>
      <c r="G228" s="85">
        <f t="shared" si="33"/>
        <v>16.995000000000033</v>
      </c>
    </row>
    <row r="229" spans="1:12" x14ac:dyDescent="0.3">
      <c r="A229"/>
      <c r="B229" s="1" t="s">
        <v>65</v>
      </c>
      <c r="C229"/>
      <c r="D229" s="85">
        <f>D213-C213</f>
        <v>1805.3025558943441</v>
      </c>
      <c r="E229" s="85">
        <f t="shared" ref="E229:G229" si="34">E213-D213</f>
        <v>-28.262753937158095</v>
      </c>
      <c r="F229" s="85">
        <f t="shared" si="34"/>
        <v>-29.708730067947272</v>
      </c>
      <c r="G229" s="85">
        <f t="shared" si="34"/>
        <v>-31.228685081880258</v>
      </c>
    </row>
    <row r="230" spans="1:12" x14ac:dyDescent="0.3">
      <c r="A230"/>
      <c r="B230" s="1" t="s">
        <v>66</v>
      </c>
      <c r="C230"/>
      <c r="D230" s="85">
        <f t="shared" si="33"/>
        <v>13860.621999999999</v>
      </c>
      <c r="E230" s="85">
        <f t="shared" si="33"/>
        <v>331.20017999999618</v>
      </c>
      <c r="F230" s="85">
        <f t="shared" si="33"/>
        <v>159.30557790000421</v>
      </c>
      <c r="G230" s="85">
        <f t="shared" si="33"/>
        <v>142.56453229949693</v>
      </c>
    </row>
    <row r="231" spans="1:12" x14ac:dyDescent="0.3">
      <c r="A231"/>
      <c r="B231" s="274"/>
      <c r="C231"/>
      <c r="D231" s="85"/>
      <c r="E231"/>
      <c r="F231"/>
      <c r="G231"/>
    </row>
    <row r="232" spans="1:12" x14ac:dyDescent="0.3">
      <c r="A232"/>
      <c r="B232" s="274"/>
      <c r="C232"/>
      <c r="D232"/>
      <c r="E232"/>
      <c r="F232"/>
      <c r="G232"/>
      <c r="J232" s="10" t="s">
        <v>255</v>
      </c>
    </row>
    <row r="233" spans="1:12" x14ac:dyDescent="0.3">
      <c r="A233" s="90" t="s">
        <v>242</v>
      </c>
      <c r="B233" s="274"/>
      <c r="C233"/>
      <c r="D233"/>
      <c r="E233"/>
      <c r="F233"/>
      <c r="G233"/>
      <c r="J233" s="10">
        <f>G242+C242</f>
        <v>8243.2160000000003</v>
      </c>
      <c r="K233" s="10" t="s">
        <v>256</v>
      </c>
    </row>
    <row r="234" spans="1:12" x14ac:dyDescent="0.3">
      <c r="A234"/>
      <c r="B234" s="275" t="str">
        <f>B227</f>
        <v>Accounts recievable</v>
      </c>
      <c r="C234"/>
      <c r="D234"/>
      <c r="E234"/>
      <c r="F234"/>
      <c r="G234" s="85">
        <f>G211</f>
        <v>6645.8563413000002</v>
      </c>
      <c r="J234" s="10">
        <f>J233*K234</f>
        <v>2060.8040000000001</v>
      </c>
      <c r="K234" s="10">
        <v>0.25</v>
      </c>
      <c r="L234" s="10" t="s">
        <v>257</v>
      </c>
    </row>
    <row r="235" spans="1:12" x14ac:dyDescent="0.3">
      <c r="A235"/>
      <c r="B235" s="1" t="s">
        <v>188</v>
      </c>
      <c r="C235"/>
      <c r="D235"/>
      <c r="E235"/>
      <c r="F235"/>
      <c r="G235" s="276">
        <f>-G212</f>
        <v>-186.94500000000002</v>
      </c>
      <c r="L235" s="235" t="s">
        <v>258</v>
      </c>
    </row>
    <row r="236" spans="1:12" x14ac:dyDescent="0.3">
      <c r="A236"/>
      <c r="B236" s="1" t="s">
        <v>65</v>
      </c>
      <c r="C236"/>
      <c r="D236"/>
      <c r="E236"/>
      <c r="F236"/>
      <c r="G236" s="276">
        <f t="shared" ref="G236:G237" si="35">-G213</f>
        <v>-1716.1023868073585</v>
      </c>
    </row>
    <row r="237" spans="1:12" x14ac:dyDescent="0.3">
      <c r="A237"/>
      <c r="B237" s="1" t="s">
        <v>66</v>
      </c>
      <c r="C237"/>
      <c r="D237"/>
      <c r="E237"/>
      <c r="F237"/>
      <c r="G237" s="276">
        <f t="shared" si="35"/>
        <v>-14493.692290199497</v>
      </c>
    </row>
    <row r="238" spans="1:12" x14ac:dyDescent="0.3">
      <c r="A238"/>
      <c r="B238" s="274"/>
      <c r="C238"/>
      <c r="D238"/>
      <c r="E238"/>
      <c r="F238"/>
      <c r="G238"/>
    </row>
    <row r="239" spans="1:12" x14ac:dyDescent="0.3">
      <c r="A239"/>
      <c r="B239" s="274"/>
      <c r="C239"/>
      <c r="D239"/>
      <c r="E239"/>
      <c r="F239"/>
      <c r="G239"/>
    </row>
    <row r="240" spans="1:12" x14ac:dyDescent="0.3">
      <c r="A240" s="90" t="s">
        <v>243</v>
      </c>
      <c r="B240" s="274"/>
      <c r="C240"/>
      <c r="D240"/>
      <c r="E240"/>
      <c r="F240"/>
      <c r="G240"/>
    </row>
    <row r="241" spans="1:13" x14ac:dyDescent="0.3">
      <c r="A241"/>
      <c r="B241" s="274" t="s">
        <v>244</v>
      </c>
      <c r="C241" s="85">
        <f>-B28</f>
        <v>-449000</v>
      </c>
      <c r="D241" s="278"/>
      <c r="E241" s="278"/>
      <c r="F241" s="278"/>
      <c r="G241" s="278">
        <f>G93</f>
        <v>389133.33333333331</v>
      </c>
      <c r="H241" s="10" t="s">
        <v>259</v>
      </c>
    </row>
    <row r="242" spans="1:13" x14ac:dyDescent="0.3">
      <c r="A242"/>
      <c r="B242" s="274" t="s">
        <v>187</v>
      </c>
      <c r="C242">
        <v>-100000</v>
      </c>
      <c r="D242"/>
      <c r="E242"/>
      <c r="F242"/>
      <c r="G242">
        <f>-M244</f>
        <v>108243.216</v>
      </c>
      <c r="H242" s="10" t="s">
        <v>252</v>
      </c>
      <c r="J242" s="10" t="s">
        <v>253</v>
      </c>
    </row>
    <row r="243" spans="1:13" x14ac:dyDescent="0.3">
      <c r="A243"/>
      <c r="B243" s="274" t="s">
        <v>254</v>
      </c>
      <c r="C243"/>
      <c r="D243"/>
      <c r="E243"/>
      <c r="F243"/>
      <c r="G243">
        <f>-J234</f>
        <v>-2060.8040000000001</v>
      </c>
      <c r="J243" s="10">
        <v>1.02</v>
      </c>
      <c r="K243" s="10">
        <v>1.02</v>
      </c>
      <c r="L243" s="10">
        <v>1.02</v>
      </c>
      <c r="M243" s="10">
        <v>1.02</v>
      </c>
    </row>
    <row r="244" spans="1:13" x14ac:dyDescent="0.3">
      <c r="A244"/>
      <c r="B244" s="274"/>
      <c r="C244"/>
      <c r="D244"/>
      <c r="E244"/>
      <c r="F244"/>
      <c r="G244"/>
      <c r="J244" s="10">
        <f>J243*$C$242</f>
        <v>-102000</v>
      </c>
      <c r="K244" s="10">
        <f>K243*J244</f>
        <v>-104040</v>
      </c>
      <c r="L244" s="10">
        <f t="shared" ref="L244:M244" si="36">L243*K244</f>
        <v>-106120.8</v>
      </c>
      <c r="M244" s="10">
        <f t="shared" si="36"/>
        <v>-108243.216</v>
      </c>
    </row>
    <row r="245" spans="1:13" x14ac:dyDescent="0.3">
      <c r="A245"/>
      <c r="B245" s="274"/>
      <c r="C245">
        <v>0</v>
      </c>
      <c r="D245">
        <v>1</v>
      </c>
      <c r="E245">
        <v>2</v>
      </c>
      <c r="F245">
        <v>3</v>
      </c>
      <c r="G245">
        <v>4</v>
      </c>
    </row>
    <row r="246" spans="1:13" x14ac:dyDescent="0.3">
      <c r="A246" s="281" t="s">
        <v>245</v>
      </c>
      <c r="B246" s="282"/>
      <c r="C246" s="283">
        <f>SUM(C224:C243)</f>
        <v>-549000</v>
      </c>
      <c r="D246" s="283">
        <f>SUM(D224:D243)</f>
        <v>78486.669222561002</v>
      </c>
      <c r="E246" s="283">
        <f t="shared" ref="E246:F246" si="37">SUM(E224:E243)</f>
        <v>70425.228912729493</v>
      </c>
      <c r="F246" s="283">
        <f t="shared" si="37"/>
        <v>70965.371166598721</v>
      </c>
      <c r="G246" s="283">
        <f>SUM(G224:G243)</f>
        <v>557133.80119361123</v>
      </c>
    </row>
    <row r="247" spans="1:13" x14ac:dyDescent="0.3">
      <c r="A247" s="90" t="s">
        <v>246</v>
      </c>
      <c r="B247" s="274"/>
      <c r="C247" s="284">
        <f>-PV($C$251,C245,,C246)</f>
        <v>-549000</v>
      </c>
      <c r="D247" s="284">
        <f>-PV($C$251,D245,,D246)</f>
        <v>74640.576213101071</v>
      </c>
      <c r="E247" s="284">
        <f t="shared" ref="E247:G247" si="38">-PV($C$251,E245,,E246)</f>
        <v>63692.227248938121</v>
      </c>
      <c r="F247" s="284">
        <f t="shared" si="38"/>
        <v>61035.672149879574</v>
      </c>
      <c r="G247" s="284">
        <f t="shared" si="38"/>
        <v>455696.65965406439</v>
      </c>
    </row>
    <row r="248" spans="1:13" x14ac:dyDescent="0.3">
      <c r="A248" s="90" t="s">
        <v>247</v>
      </c>
      <c r="B248" s="274"/>
      <c r="C248" s="284">
        <f>SUM(C247:G247)</f>
        <v>106065.13526598312</v>
      </c>
      <c r="D248"/>
      <c r="E248"/>
      <c r="F248"/>
      <c r="G248"/>
    </row>
    <row r="249" spans="1:13" x14ac:dyDescent="0.3">
      <c r="A249" s="90" t="s">
        <v>248</v>
      </c>
      <c r="B249" s="284"/>
      <c r="C249" s="285">
        <f>IRR(C246:G246)</f>
        <v>0.10862803132695187</v>
      </c>
      <c r="D249"/>
      <c r="E249"/>
      <c r="F249"/>
      <c r="G249"/>
    </row>
    <row r="250" spans="1:13" x14ac:dyDescent="0.3">
      <c r="A250"/>
      <c r="B250"/>
      <c r="C250"/>
      <c r="D250"/>
      <c r="E250"/>
      <c r="F250"/>
      <c r="G250"/>
    </row>
    <row r="251" spans="1:13" x14ac:dyDescent="0.3">
      <c r="A251" s="90" t="s">
        <v>73</v>
      </c>
      <c r="B251"/>
      <c r="C251" s="286">
        <f>C196</f>
        <v>5.152817950492812E-2</v>
      </c>
      <c r="D251"/>
      <c r="E251"/>
      <c r="F251"/>
      <c r="G251" s="288"/>
    </row>
  </sheetData>
  <mergeCells count="14">
    <mergeCell ref="G138:H138"/>
    <mergeCell ref="G139:H139"/>
    <mergeCell ref="G140:H140"/>
    <mergeCell ref="G141:H141"/>
    <mergeCell ref="G133:H133"/>
    <mergeCell ref="G134:H134"/>
    <mergeCell ref="G135:H135"/>
    <mergeCell ref="G136:H136"/>
    <mergeCell ref="G137:H137"/>
    <mergeCell ref="A1:H1"/>
    <mergeCell ref="A52:H53"/>
    <mergeCell ref="A24:A25"/>
    <mergeCell ref="I39:P41"/>
    <mergeCell ref="G132:H132"/>
  </mergeCells>
  <hyperlinks>
    <hyperlink ref="K136" r:id="rId1"/>
    <hyperlink ref="L132" r:id="rId2"/>
    <hyperlink ref="M133" r:id="rId3"/>
    <hyperlink ref="J138" r:id="rId4"/>
    <hyperlink ref="J140" r:id="rId5"/>
    <hyperlink ref="L235" r:id="rId6"/>
  </hyperlinks>
  <pageMargins left="0.7" right="0.7" top="0.75" bottom="0.75" header="0.3" footer="0.3"/>
  <pageSetup orientation="portrait" r:id="rId7"/>
  <drawing r:id="rId8"/>
  <legacyDrawing r:id="rId9"/>
  <mc:AlternateContent xmlns:mc="http://schemas.openxmlformats.org/markup-compatibility/2006">
    <mc:Choice Requires="x14">
      <controls>
        <mc:AlternateContent xmlns:mc="http://schemas.openxmlformats.org/markup-compatibility/2006">
          <mc:Choice Requires="x14">
            <control shapeId="2059" r:id="rId10" name="Button 11">
              <controlPr defaultSize="0" print="0" autoFill="0" autoPict="0" macro="[0]!CashYearTwo">
                <anchor moveWithCells="1" sizeWithCells="1">
                  <from>
                    <xdr:col>4</xdr:col>
                    <xdr:colOff>190500</xdr:colOff>
                    <xdr:row>122</xdr:row>
                    <xdr:rowOff>0</xdr:rowOff>
                  </from>
                  <to>
                    <xdr:col>4</xdr:col>
                    <xdr:colOff>962025</xdr:colOff>
                    <xdr:row>124</xdr:row>
                    <xdr:rowOff>0</xdr:rowOff>
                  </to>
                </anchor>
              </controlPr>
            </control>
          </mc:Choice>
        </mc:AlternateContent>
        <mc:AlternateContent xmlns:mc="http://schemas.openxmlformats.org/markup-compatibility/2006">
          <mc:Choice Requires="x14">
            <control shapeId="2060" r:id="rId11" name="Button 12">
              <controlPr defaultSize="0" print="0" autoFill="0" autoPict="0" macro="[0]!CashYearThree">
                <anchor moveWithCells="1" sizeWithCells="1">
                  <from>
                    <xdr:col>5</xdr:col>
                    <xdr:colOff>38100</xdr:colOff>
                    <xdr:row>121</xdr:row>
                    <xdr:rowOff>200025</xdr:rowOff>
                  </from>
                  <to>
                    <xdr:col>5</xdr:col>
                    <xdr:colOff>809625</xdr:colOff>
                    <xdr:row>123</xdr:row>
                    <xdr:rowOff>200025</xdr:rowOff>
                  </to>
                </anchor>
              </controlPr>
            </control>
          </mc:Choice>
        </mc:AlternateContent>
        <mc:AlternateContent xmlns:mc="http://schemas.openxmlformats.org/markup-compatibility/2006">
          <mc:Choice Requires="x14">
            <control shapeId="2061" r:id="rId12" name="Button 13">
              <controlPr defaultSize="0" print="0" autoFill="0" autoPict="0" macro="[0]!CashYearFour">
                <anchor moveWithCells="1" sizeWithCells="1">
                  <from>
                    <xdr:col>6</xdr:col>
                    <xdr:colOff>47625</xdr:colOff>
                    <xdr:row>121</xdr:row>
                    <xdr:rowOff>200025</xdr:rowOff>
                  </from>
                  <to>
                    <xdr:col>6</xdr:col>
                    <xdr:colOff>819150</xdr:colOff>
                    <xdr:row>123</xdr:row>
                    <xdr:rowOff>200025</xdr:rowOff>
                  </to>
                </anchor>
              </controlPr>
            </control>
          </mc:Choice>
        </mc:AlternateContent>
        <mc:AlternateContent xmlns:mc="http://schemas.openxmlformats.org/markup-compatibility/2006">
          <mc:Choice Requires="x14">
            <control shapeId="2062" r:id="rId13" name="Button 14">
              <controlPr defaultSize="0" print="0" autoFill="0" autoPict="0" macro="[0]!CashYearOne">
                <anchor moveWithCells="1" sizeWithCells="1">
                  <from>
                    <xdr:col>3</xdr:col>
                    <xdr:colOff>762000</xdr:colOff>
                    <xdr:row>122</xdr:row>
                    <xdr:rowOff>0</xdr:rowOff>
                  </from>
                  <to>
                    <xdr:col>3</xdr:col>
                    <xdr:colOff>1533525</xdr:colOff>
                    <xdr:row>124</xdr:row>
                    <xdr:rowOff>0</xdr:rowOff>
                  </to>
                </anchor>
              </controlPr>
            </control>
          </mc:Choice>
        </mc:AlternateContent>
        <mc:AlternateContent xmlns:mc="http://schemas.openxmlformats.org/markup-compatibility/2006">
          <mc:Choice Requires="x14">
            <control shapeId="2063" r:id="rId14" name="Button 15">
              <controlPr defaultSize="0" print="0" autoFill="0" autoPict="0" macro="[0]!DFNYearTwo">
                <anchor moveWithCells="1" sizeWithCells="1">
                  <from>
                    <xdr:col>4</xdr:col>
                    <xdr:colOff>180975</xdr:colOff>
                    <xdr:row>125</xdr:row>
                    <xdr:rowOff>19050</xdr:rowOff>
                  </from>
                  <to>
                    <xdr:col>4</xdr:col>
                    <xdr:colOff>952500</xdr:colOff>
                    <xdr:row>127</xdr:row>
                    <xdr:rowOff>0</xdr:rowOff>
                  </to>
                </anchor>
              </controlPr>
            </control>
          </mc:Choice>
        </mc:AlternateContent>
        <mc:AlternateContent xmlns:mc="http://schemas.openxmlformats.org/markup-compatibility/2006">
          <mc:Choice Requires="x14">
            <control shapeId="2064" r:id="rId15" name="Button 16">
              <controlPr defaultSize="0" print="0" autoFill="0" autoPict="0" macro="[0]!DFNYearThree">
                <anchor moveWithCells="1" sizeWithCells="1">
                  <from>
                    <xdr:col>5</xdr:col>
                    <xdr:colOff>38100</xdr:colOff>
                    <xdr:row>125</xdr:row>
                    <xdr:rowOff>9525</xdr:rowOff>
                  </from>
                  <to>
                    <xdr:col>5</xdr:col>
                    <xdr:colOff>809625</xdr:colOff>
                    <xdr:row>127</xdr:row>
                    <xdr:rowOff>0</xdr:rowOff>
                  </to>
                </anchor>
              </controlPr>
            </control>
          </mc:Choice>
        </mc:AlternateContent>
        <mc:AlternateContent xmlns:mc="http://schemas.openxmlformats.org/markup-compatibility/2006">
          <mc:Choice Requires="x14">
            <control shapeId="2065" r:id="rId16" name="Button 17">
              <controlPr defaultSize="0" print="0" autoFill="0" autoPict="0" macro="[0]!DFNYearFour">
                <anchor moveWithCells="1" sizeWithCells="1">
                  <from>
                    <xdr:col>6</xdr:col>
                    <xdr:colOff>47625</xdr:colOff>
                    <xdr:row>125</xdr:row>
                    <xdr:rowOff>9525</xdr:rowOff>
                  </from>
                  <to>
                    <xdr:col>6</xdr:col>
                    <xdr:colOff>819150</xdr:colOff>
                    <xdr:row>127</xdr:row>
                    <xdr:rowOff>0</xdr:rowOff>
                  </to>
                </anchor>
              </controlPr>
            </control>
          </mc:Choice>
        </mc:AlternateContent>
        <mc:AlternateContent xmlns:mc="http://schemas.openxmlformats.org/markup-compatibility/2006">
          <mc:Choice Requires="x14">
            <control shapeId="2066" r:id="rId17" name="Button 18">
              <controlPr defaultSize="0" print="0" autoFill="0" autoPict="0" macro="[0]!DFNYearOne">
                <anchor moveWithCells="1" sizeWithCells="1">
                  <from>
                    <xdr:col>3</xdr:col>
                    <xdr:colOff>762000</xdr:colOff>
                    <xdr:row>125</xdr:row>
                    <xdr:rowOff>19050</xdr:rowOff>
                  </from>
                  <to>
                    <xdr:col>3</xdr:col>
                    <xdr:colOff>1533525</xdr:colOff>
                    <xdr:row>127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J793"/>
  <sheetViews>
    <sheetView workbookViewId="0">
      <selection activeCell="J3" sqref="J3"/>
    </sheetView>
  </sheetViews>
  <sheetFormatPr defaultRowHeight="15" x14ac:dyDescent="0.25"/>
  <cols>
    <col min="1" max="1" width="10.85546875" style="91" bestFit="1" customWidth="1"/>
    <col min="2" max="2" width="5" style="91" bestFit="1" customWidth="1"/>
    <col min="3" max="3" width="12.7109375" style="86" customWidth="1"/>
    <col min="4" max="4" width="10.140625" style="86" bestFit="1" customWidth="1"/>
    <col min="5" max="5" width="9.85546875" style="86" bestFit="1" customWidth="1"/>
    <col min="6" max="6" width="10.28515625" style="86" bestFit="1" customWidth="1"/>
    <col min="7" max="7" width="13.140625" style="86" bestFit="1" customWidth="1"/>
    <col min="8" max="8" width="9.140625" style="91"/>
    <col min="9" max="9" width="12.85546875" style="91" bestFit="1" customWidth="1"/>
    <col min="10" max="10" width="12.7109375" style="91" bestFit="1" customWidth="1"/>
    <col min="11" max="16384" width="9.140625" style="91"/>
  </cols>
  <sheetData>
    <row r="2" spans="1:10" s="90" customFormat="1" x14ac:dyDescent="0.25">
      <c r="A2" s="90" t="s">
        <v>126</v>
      </c>
      <c r="B2" s="90" t="s">
        <v>127</v>
      </c>
      <c r="C2" s="95" t="s">
        <v>98</v>
      </c>
      <c r="D2" s="95" t="s">
        <v>99</v>
      </c>
      <c r="E2" s="95" t="s">
        <v>100</v>
      </c>
      <c r="F2" s="95" t="s">
        <v>101</v>
      </c>
      <c r="G2" s="95" t="s">
        <v>102</v>
      </c>
    </row>
    <row r="3" spans="1:10" x14ac:dyDescent="0.25">
      <c r="A3" s="91" t="s">
        <v>113</v>
      </c>
      <c r="B3" s="91">
        <v>2012</v>
      </c>
      <c r="C3" s="96">
        <f>+J3</f>
        <v>439200</v>
      </c>
      <c r="D3" s="96">
        <f>+F3-E3</f>
        <v>527.72056826931475</v>
      </c>
      <c r="E3" s="96">
        <f>+C3*$J$5</f>
        <v>1830</v>
      </c>
      <c r="F3" s="96">
        <f>-J7</f>
        <v>2357.7205682693148</v>
      </c>
      <c r="G3" s="96">
        <f t="shared" ref="G3:G14" si="0">+C3-D3</f>
        <v>438672.27943173068</v>
      </c>
      <c r="I3" s="91" t="s">
        <v>103</v>
      </c>
      <c r="J3" s="86">
        <f>+'C&amp;R-RE Group'!B33</f>
        <v>439200</v>
      </c>
    </row>
    <row r="4" spans="1:10" x14ac:dyDescent="0.25">
      <c r="A4" s="91" t="s">
        <v>114</v>
      </c>
      <c r="B4" s="91">
        <v>2012</v>
      </c>
      <c r="C4" s="96">
        <f>+G3</f>
        <v>438672.27943173068</v>
      </c>
      <c r="D4" s="96">
        <f t="shared" ref="D4:D14" si="1">+F4-E4</f>
        <v>529.91940397043686</v>
      </c>
      <c r="E4" s="96">
        <f t="shared" ref="E4:E14" si="2">+C4*$J$5</f>
        <v>1827.8011642988779</v>
      </c>
      <c r="F4" s="96">
        <f>+F3</f>
        <v>2357.7205682693148</v>
      </c>
      <c r="G4" s="96">
        <f t="shared" si="0"/>
        <v>438142.36002776027</v>
      </c>
      <c r="I4" s="91" t="s">
        <v>104</v>
      </c>
      <c r="J4" s="91">
        <v>0</v>
      </c>
    </row>
    <row r="5" spans="1:10" x14ac:dyDescent="0.25">
      <c r="A5" s="91" t="s">
        <v>115</v>
      </c>
      <c r="B5" s="91">
        <v>2012</v>
      </c>
      <c r="C5" s="96">
        <f t="shared" ref="C5:C14" si="3">+G4</f>
        <v>438142.36002776027</v>
      </c>
      <c r="D5" s="96">
        <f t="shared" si="1"/>
        <v>532.12740148698026</v>
      </c>
      <c r="E5" s="96">
        <f t="shared" si="2"/>
        <v>1825.5931667823345</v>
      </c>
      <c r="F5" s="96">
        <f t="shared" ref="F5:F14" si="4">+F4</f>
        <v>2357.7205682693148</v>
      </c>
      <c r="G5" s="96">
        <f t="shared" si="0"/>
        <v>437610.2326262733</v>
      </c>
      <c r="I5" s="91" t="s">
        <v>105</v>
      </c>
      <c r="J5" s="88">
        <f>+J16</f>
        <v>4.1666666666666666E-3</v>
      </c>
    </row>
    <row r="6" spans="1:10" x14ac:dyDescent="0.25">
      <c r="A6" s="91" t="s">
        <v>116</v>
      </c>
      <c r="B6" s="91">
        <v>2012</v>
      </c>
      <c r="C6" s="96">
        <f t="shared" si="3"/>
        <v>437610.2326262733</v>
      </c>
      <c r="D6" s="96">
        <f t="shared" si="1"/>
        <v>534.34459899317608</v>
      </c>
      <c r="E6" s="96">
        <f t="shared" si="2"/>
        <v>1823.3759692761387</v>
      </c>
      <c r="F6" s="96">
        <f t="shared" si="4"/>
        <v>2357.7205682693148</v>
      </c>
      <c r="G6" s="96">
        <f t="shared" si="0"/>
        <v>437075.8880272801</v>
      </c>
      <c r="I6" s="91" t="s">
        <v>106</v>
      </c>
      <c r="J6" s="91">
        <f>+J10*J12</f>
        <v>360</v>
      </c>
    </row>
    <row r="7" spans="1:10" x14ac:dyDescent="0.25">
      <c r="A7" s="91" t="s">
        <v>117</v>
      </c>
      <c r="B7" s="91">
        <v>2012</v>
      </c>
      <c r="C7" s="96">
        <f t="shared" si="3"/>
        <v>437075.8880272801</v>
      </c>
      <c r="D7" s="96">
        <f t="shared" si="1"/>
        <v>536.57103482231446</v>
      </c>
      <c r="E7" s="96">
        <f t="shared" si="2"/>
        <v>1821.1495334470003</v>
      </c>
      <c r="F7" s="96">
        <f t="shared" si="4"/>
        <v>2357.7205682693148</v>
      </c>
      <c r="G7" s="96">
        <f t="shared" si="0"/>
        <v>436539.31699245778</v>
      </c>
      <c r="I7" s="91" t="s">
        <v>107</v>
      </c>
      <c r="J7" s="92">
        <f>+PMT(J5,J6,J3,J4,)</f>
        <v>-2357.7205682693148</v>
      </c>
    </row>
    <row r="8" spans="1:10" x14ac:dyDescent="0.25">
      <c r="A8" s="91" t="s">
        <v>118</v>
      </c>
      <c r="B8" s="91">
        <v>2012</v>
      </c>
      <c r="C8" s="96">
        <f t="shared" si="3"/>
        <v>436539.31699245778</v>
      </c>
      <c r="D8" s="96">
        <f t="shared" si="1"/>
        <v>538.80674746740738</v>
      </c>
      <c r="E8" s="96">
        <f t="shared" si="2"/>
        <v>1818.9138208019074</v>
      </c>
      <c r="F8" s="96">
        <f t="shared" si="4"/>
        <v>2357.7205682693148</v>
      </c>
      <c r="G8" s="96">
        <f t="shared" si="0"/>
        <v>436000.51024499035</v>
      </c>
    </row>
    <row r="9" spans="1:10" x14ac:dyDescent="0.25">
      <c r="A9" s="91" t="s">
        <v>119</v>
      </c>
      <c r="B9" s="91">
        <v>2012</v>
      </c>
      <c r="C9" s="96">
        <f t="shared" si="3"/>
        <v>436000.51024499035</v>
      </c>
      <c r="D9" s="96">
        <f t="shared" si="1"/>
        <v>541.05177558185505</v>
      </c>
      <c r="E9" s="96">
        <f t="shared" si="2"/>
        <v>1816.6687926874597</v>
      </c>
      <c r="F9" s="96">
        <f t="shared" si="4"/>
        <v>2357.7205682693148</v>
      </c>
      <c r="G9" s="96">
        <f t="shared" si="0"/>
        <v>435459.45846940851</v>
      </c>
    </row>
    <row r="10" spans="1:10" x14ac:dyDescent="0.25">
      <c r="A10" s="91" t="s">
        <v>120</v>
      </c>
      <c r="B10" s="91">
        <v>2012</v>
      </c>
      <c r="C10" s="96">
        <f t="shared" si="3"/>
        <v>435459.45846940851</v>
      </c>
      <c r="D10" s="96">
        <f t="shared" si="1"/>
        <v>543.30615798011263</v>
      </c>
      <c r="E10" s="96">
        <f t="shared" si="2"/>
        <v>1814.4144102892021</v>
      </c>
      <c r="F10" s="96">
        <f t="shared" si="4"/>
        <v>2357.7205682693148</v>
      </c>
      <c r="G10" s="96">
        <f t="shared" si="0"/>
        <v>434916.15231142839</v>
      </c>
      <c r="I10" s="91" t="s">
        <v>29</v>
      </c>
      <c r="J10" s="91">
        <v>30</v>
      </c>
    </row>
    <row r="11" spans="1:10" x14ac:dyDescent="0.25">
      <c r="A11" s="91" t="s">
        <v>121</v>
      </c>
      <c r="B11" s="91">
        <v>2012</v>
      </c>
      <c r="C11" s="96">
        <f t="shared" si="3"/>
        <v>434916.15231142839</v>
      </c>
      <c r="D11" s="96">
        <f t="shared" si="1"/>
        <v>545.56993363836318</v>
      </c>
      <c r="E11" s="96">
        <f t="shared" si="2"/>
        <v>1812.1506346309516</v>
      </c>
      <c r="F11" s="96">
        <f t="shared" si="4"/>
        <v>2357.7205682693148</v>
      </c>
      <c r="G11" s="96">
        <f t="shared" si="0"/>
        <v>434370.58237779001</v>
      </c>
      <c r="I11" s="91" t="s">
        <v>111</v>
      </c>
      <c r="J11" s="93">
        <v>0.05</v>
      </c>
    </row>
    <row r="12" spans="1:10" x14ac:dyDescent="0.25">
      <c r="A12" s="91" t="s">
        <v>122</v>
      </c>
      <c r="B12" s="91">
        <v>2012</v>
      </c>
      <c r="C12" s="96">
        <f t="shared" si="3"/>
        <v>434370.58237779001</v>
      </c>
      <c r="D12" s="96">
        <f t="shared" si="1"/>
        <v>547.84314169518984</v>
      </c>
      <c r="E12" s="96">
        <f t="shared" si="2"/>
        <v>1809.8774265741249</v>
      </c>
      <c r="F12" s="96">
        <f t="shared" si="4"/>
        <v>2357.7205682693148</v>
      </c>
      <c r="G12" s="96">
        <f t="shared" si="0"/>
        <v>433822.73923609481</v>
      </c>
      <c r="I12" s="91" t="s">
        <v>108</v>
      </c>
      <c r="J12" s="91">
        <v>12</v>
      </c>
    </row>
    <row r="13" spans="1:10" x14ac:dyDescent="0.25">
      <c r="A13" s="91" t="s">
        <v>123</v>
      </c>
      <c r="B13" s="91">
        <v>2012</v>
      </c>
      <c r="C13" s="96">
        <f t="shared" si="3"/>
        <v>433822.73923609481</v>
      </c>
      <c r="D13" s="96">
        <f t="shared" si="1"/>
        <v>550.12582145225315</v>
      </c>
      <c r="E13" s="96">
        <f t="shared" si="2"/>
        <v>1807.5947468170616</v>
      </c>
      <c r="F13" s="96">
        <f t="shared" si="4"/>
        <v>2357.7205682693148</v>
      </c>
      <c r="G13" s="96">
        <f t="shared" si="0"/>
        <v>433272.61341464258</v>
      </c>
      <c r="I13" s="91" t="s">
        <v>109</v>
      </c>
      <c r="J13" s="91">
        <v>12</v>
      </c>
    </row>
    <row r="14" spans="1:10" x14ac:dyDescent="0.25">
      <c r="A14" s="91" t="s">
        <v>124</v>
      </c>
      <c r="B14" s="91">
        <v>2012</v>
      </c>
      <c r="C14" s="96">
        <f t="shared" si="3"/>
        <v>433272.61341464258</v>
      </c>
      <c r="D14" s="96">
        <f t="shared" si="1"/>
        <v>552.41801237497066</v>
      </c>
      <c r="E14" s="96">
        <f t="shared" si="2"/>
        <v>1805.3025558943441</v>
      </c>
      <c r="F14" s="96">
        <f t="shared" si="4"/>
        <v>2357.7205682693148</v>
      </c>
      <c r="G14" s="97">
        <f t="shared" si="0"/>
        <v>432720.19540226762</v>
      </c>
      <c r="I14" s="91" t="s">
        <v>110</v>
      </c>
      <c r="J14" s="91">
        <f>+J12/J13</f>
        <v>1</v>
      </c>
    </row>
    <row r="15" spans="1:10" x14ac:dyDescent="0.25">
      <c r="B15" s="89"/>
      <c r="C15" s="97" t="s">
        <v>125</v>
      </c>
      <c r="D15" s="97">
        <f>SUM(D3:D14)</f>
        <v>6479.8045977323745</v>
      </c>
      <c r="E15" s="97">
        <f>SUM(E3:E14)</f>
        <v>21812.842221499403</v>
      </c>
      <c r="F15" s="96"/>
      <c r="G15" s="96"/>
    </row>
    <row r="16" spans="1:10" x14ac:dyDescent="0.25">
      <c r="B16" s="84"/>
      <c r="C16" s="96"/>
      <c r="D16" s="96"/>
      <c r="E16" s="96"/>
      <c r="F16" s="96"/>
      <c r="G16" s="96"/>
      <c r="I16" s="91" t="s">
        <v>112</v>
      </c>
      <c r="J16" s="87">
        <f>+J11/J12</f>
        <v>4.1666666666666666E-3</v>
      </c>
    </row>
    <row r="17" spans="1:7" x14ac:dyDescent="0.25">
      <c r="A17" s="91" t="s">
        <v>113</v>
      </c>
      <c r="B17" s="89">
        <v>2013</v>
      </c>
      <c r="C17" s="96">
        <f>+G14</f>
        <v>432720.19540226762</v>
      </c>
      <c r="D17" s="96">
        <f>+F17-E17</f>
        <v>554.71975409319975</v>
      </c>
      <c r="E17" s="96">
        <f>+C17*$J$5</f>
        <v>1803.000814176115</v>
      </c>
      <c r="F17" s="96">
        <f>+F14</f>
        <v>2357.7205682693148</v>
      </c>
      <c r="G17" s="96">
        <f t="shared" ref="G17:G28" si="5">+C17-D17</f>
        <v>432165.47564817441</v>
      </c>
    </row>
    <row r="18" spans="1:7" x14ac:dyDescent="0.25">
      <c r="A18" s="91" t="s">
        <v>114</v>
      </c>
      <c r="B18" s="89">
        <v>2013</v>
      </c>
      <c r="C18" s="96">
        <f t="shared" ref="C18:C28" si="6">+G17</f>
        <v>432165.47564817441</v>
      </c>
      <c r="D18" s="96">
        <f t="shared" ref="D18:D28" si="7">+F18-E18</f>
        <v>557.03108640192136</v>
      </c>
      <c r="E18" s="96">
        <f t="shared" ref="E18:E28" si="8">+C18*$J$5</f>
        <v>1800.6894818673934</v>
      </c>
      <c r="F18" s="96">
        <f>+F17</f>
        <v>2357.7205682693148</v>
      </c>
      <c r="G18" s="96">
        <f t="shared" si="5"/>
        <v>431608.44456177251</v>
      </c>
    </row>
    <row r="19" spans="1:7" x14ac:dyDescent="0.25">
      <c r="A19" s="91" t="s">
        <v>115</v>
      </c>
      <c r="B19" s="89">
        <v>2013</v>
      </c>
      <c r="C19" s="96">
        <f t="shared" si="6"/>
        <v>431608.44456177251</v>
      </c>
      <c r="D19" s="96">
        <f t="shared" si="7"/>
        <v>559.35204926192932</v>
      </c>
      <c r="E19" s="96">
        <f t="shared" si="8"/>
        <v>1798.3685190073854</v>
      </c>
      <c r="F19" s="96">
        <f t="shared" ref="F19:F28" si="9">+F18</f>
        <v>2357.7205682693148</v>
      </c>
      <c r="G19" s="96">
        <f t="shared" si="5"/>
        <v>431049.0925125106</v>
      </c>
    </row>
    <row r="20" spans="1:7" x14ac:dyDescent="0.25">
      <c r="A20" s="91" t="s">
        <v>116</v>
      </c>
      <c r="B20" s="89">
        <v>2013</v>
      </c>
      <c r="C20" s="96">
        <f t="shared" si="6"/>
        <v>431049.0925125106</v>
      </c>
      <c r="D20" s="96">
        <f t="shared" si="7"/>
        <v>561.68268280052052</v>
      </c>
      <c r="E20" s="96">
        <f t="shared" si="8"/>
        <v>1796.0378854687942</v>
      </c>
      <c r="F20" s="96">
        <f t="shared" si="9"/>
        <v>2357.7205682693148</v>
      </c>
      <c r="G20" s="96">
        <f t="shared" si="5"/>
        <v>430487.40982971009</v>
      </c>
    </row>
    <row r="21" spans="1:7" x14ac:dyDescent="0.25">
      <c r="A21" s="91" t="s">
        <v>117</v>
      </c>
      <c r="B21" s="89">
        <v>2013</v>
      </c>
      <c r="C21" s="96">
        <f t="shared" si="6"/>
        <v>430487.40982971009</v>
      </c>
      <c r="D21" s="96">
        <f t="shared" si="7"/>
        <v>564.02302731218947</v>
      </c>
      <c r="E21" s="96">
        <f t="shared" si="8"/>
        <v>1793.6975409571253</v>
      </c>
      <c r="F21" s="96">
        <f t="shared" si="9"/>
        <v>2357.7205682693148</v>
      </c>
      <c r="G21" s="96">
        <f t="shared" si="5"/>
        <v>429923.3868023979</v>
      </c>
    </row>
    <row r="22" spans="1:7" x14ac:dyDescent="0.25">
      <c r="A22" s="91" t="s">
        <v>118</v>
      </c>
      <c r="B22" s="89">
        <v>2013</v>
      </c>
      <c r="C22" s="96">
        <f t="shared" si="6"/>
        <v>429923.3868023979</v>
      </c>
      <c r="D22" s="96">
        <f t="shared" si="7"/>
        <v>566.37312325932362</v>
      </c>
      <c r="E22" s="96">
        <f t="shared" si="8"/>
        <v>1791.3474450099911</v>
      </c>
      <c r="F22" s="96">
        <f t="shared" si="9"/>
        <v>2357.7205682693148</v>
      </c>
      <c r="G22" s="96">
        <f t="shared" si="5"/>
        <v>429357.01367913856</v>
      </c>
    </row>
    <row r="23" spans="1:7" x14ac:dyDescent="0.25">
      <c r="A23" s="91" t="s">
        <v>119</v>
      </c>
      <c r="B23" s="89">
        <v>2013</v>
      </c>
      <c r="C23" s="96">
        <f t="shared" si="6"/>
        <v>429357.01367913856</v>
      </c>
      <c r="D23" s="96">
        <f t="shared" si="7"/>
        <v>568.73301127290415</v>
      </c>
      <c r="E23" s="96">
        <f t="shared" si="8"/>
        <v>1788.9875569964106</v>
      </c>
      <c r="F23" s="96">
        <f t="shared" si="9"/>
        <v>2357.7205682693148</v>
      </c>
      <c r="G23" s="96">
        <f t="shared" si="5"/>
        <v>428788.28066786565</v>
      </c>
    </row>
    <row r="24" spans="1:7" x14ac:dyDescent="0.25">
      <c r="A24" s="91" t="s">
        <v>120</v>
      </c>
      <c r="B24" s="89">
        <v>2013</v>
      </c>
      <c r="C24" s="96">
        <f t="shared" si="6"/>
        <v>428788.28066786565</v>
      </c>
      <c r="D24" s="96">
        <f t="shared" si="7"/>
        <v>571.10273215320785</v>
      </c>
      <c r="E24" s="96">
        <f t="shared" si="8"/>
        <v>1786.6178361161069</v>
      </c>
      <c r="F24" s="96">
        <f t="shared" si="9"/>
        <v>2357.7205682693148</v>
      </c>
      <c r="G24" s="96">
        <f t="shared" si="5"/>
        <v>428217.17793571245</v>
      </c>
    </row>
    <row r="25" spans="1:7" x14ac:dyDescent="0.25">
      <c r="A25" s="91" t="s">
        <v>121</v>
      </c>
      <c r="B25" s="89">
        <v>2013</v>
      </c>
      <c r="C25" s="96">
        <f t="shared" si="6"/>
        <v>428217.17793571245</v>
      </c>
      <c r="D25" s="96">
        <f t="shared" si="7"/>
        <v>573.48232687051291</v>
      </c>
      <c r="E25" s="96">
        <f t="shared" si="8"/>
        <v>1784.2382413988018</v>
      </c>
      <c r="F25" s="96">
        <f t="shared" si="9"/>
        <v>2357.7205682693148</v>
      </c>
      <c r="G25" s="96">
        <f t="shared" si="5"/>
        <v>427643.69560884195</v>
      </c>
    </row>
    <row r="26" spans="1:7" x14ac:dyDescent="0.25">
      <c r="A26" s="91" t="s">
        <v>122</v>
      </c>
      <c r="B26" s="89">
        <v>2013</v>
      </c>
      <c r="C26" s="96">
        <f t="shared" si="6"/>
        <v>427643.69560884195</v>
      </c>
      <c r="D26" s="96">
        <f t="shared" si="7"/>
        <v>575.87183656580669</v>
      </c>
      <c r="E26" s="96">
        <f t="shared" si="8"/>
        <v>1781.8487317035081</v>
      </c>
      <c r="F26" s="96">
        <f t="shared" si="9"/>
        <v>2357.7205682693148</v>
      </c>
      <c r="G26" s="96">
        <f t="shared" si="5"/>
        <v>427067.82377227617</v>
      </c>
    </row>
    <row r="27" spans="1:7" x14ac:dyDescent="0.25">
      <c r="A27" s="91" t="s">
        <v>123</v>
      </c>
      <c r="B27" s="89">
        <v>2013</v>
      </c>
      <c r="C27" s="96">
        <f t="shared" si="6"/>
        <v>427067.82377227617</v>
      </c>
      <c r="D27" s="96">
        <f t="shared" si="7"/>
        <v>578.27130255149746</v>
      </c>
      <c r="E27" s="96">
        <f t="shared" si="8"/>
        <v>1779.4492657178173</v>
      </c>
      <c r="F27" s="96">
        <f t="shared" si="9"/>
        <v>2357.7205682693148</v>
      </c>
      <c r="G27" s="96">
        <f t="shared" si="5"/>
        <v>426489.55246972467</v>
      </c>
    </row>
    <row r="28" spans="1:7" x14ac:dyDescent="0.25">
      <c r="A28" s="91" t="s">
        <v>124</v>
      </c>
      <c r="B28" s="89">
        <v>2013</v>
      </c>
      <c r="C28" s="96">
        <f t="shared" si="6"/>
        <v>426489.55246972467</v>
      </c>
      <c r="D28" s="96">
        <f t="shared" si="7"/>
        <v>580.68076631212875</v>
      </c>
      <c r="E28" s="96">
        <f t="shared" si="8"/>
        <v>1777.039801957186</v>
      </c>
      <c r="F28" s="96">
        <f t="shared" si="9"/>
        <v>2357.7205682693148</v>
      </c>
      <c r="G28" s="97">
        <f t="shared" si="5"/>
        <v>425908.87170341256</v>
      </c>
    </row>
    <row r="29" spans="1:7" x14ac:dyDescent="0.25">
      <c r="C29" s="97"/>
      <c r="D29" s="97">
        <f>SUM(D17:D28)</f>
        <v>6811.3236988551434</v>
      </c>
      <c r="E29" s="97">
        <f>SUM(E17:E28)</f>
        <v>21481.323120376634</v>
      </c>
      <c r="F29" s="96"/>
      <c r="G29" s="96"/>
    </row>
    <row r="30" spans="1:7" x14ac:dyDescent="0.25">
      <c r="C30" s="96"/>
      <c r="D30" s="96"/>
      <c r="E30" s="96"/>
      <c r="F30" s="96"/>
      <c r="G30" s="96"/>
    </row>
    <row r="31" spans="1:7" x14ac:dyDescent="0.25">
      <c r="A31" s="91" t="s">
        <v>113</v>
      </c>
      <c r="B31" s="89">
        <v>2014</v>
      </c>
      <c r="C31" s="96">
        <f>+G28</f>
        <v>425908.87170341256</v>
      </c>
      <c r="D31" s="96">
        <f>+F31-E31</f>
        <v>583.10026950509587</v>
      </c>
      <c r="E31" s="96">
        <f>+C31*$J$5</f>
        <v>1774.6202987642189</v>
      </c>
      <c r="F31" s="96">
        <f>+F28</f>
        <v>2357.7205682693148</v>
      </c>
      <c r="G31" s="96">
        <f t="shared" ref="G31:G42" si="10">+C31-D31</f>
        <v>425325.77143390744</v>
      </c>
    </row>
    <row r="32" spans="1:7" x14ac:dyDescent="0.25">
      <c r="A32" s="91" t="s">
        <v>114</v>
      </c>
      <c r="B32" s="89">
        <v>2014</v>
      </c>
      <c r="C32" s="96">
        <f t="shared" ref="C32:C42" si="11">+G31</f>
        <v>425325.77143390744</v>
      </c>
      <c r="D32" s="96">
        <f t="shared" ref="D32:D42" si="12">+F32-E32</f>
        <v>585.52985396136705</v>
      </c>
      <c r="E32" s="96">
        <f t="shared" ref="E32:E42" si="13">+C32*$J$5</f>
        <v>1772.1907143079477</v>
      </c>
      <c r="F32" s="96">
        <f>+F31</f>
        <v>2357.7205682693148</v>
      </c>
      <c r="G32" s="96">
        <f t="shared" si="10"/>
        <v>424740.24157994607</v>
      </c>
    </row>
    <row r="33" spans="1:7" x14ac:dyDescent="0.25">
      <c r="A33" s="91" t="s">
        <v>115</v>
      </c>
      <c r="B33" s="89">
        <v>2014</v>
      </c>
      <c r="C33" s="96">
        <f t="shared" si="11"/>
        <v>424740.24157994607</v>
      </c>
      <c r="D33" s="96">
        <f t="shared" si="12"/>
        <v>587.96956168620613</v>
      </c>
      <c r="E33" s="96">
        <f t="shared" si="13"/>
        <v>1769.7510065831086</v>
      </c>
      <c r="F33" s="96">
        <f t="shared" ref="F33:F42" si="14">+F32</f>
        <v>2357.7205682693148</v>
      </c>
      <c r="G33" s="96">
        <f t="shared" si="10"/>
        <v>424152.27201825986</v>
      </c>
    </row>
    <row r="34" spans="1:7" x14ac:dyDescent="0.25">
      <c r="A34" s="91" t="s">
        <v>116</v>
      </c>
      <c r="B34" s="89">
        <v>2014</v>
      </c>
      <c r="C34" s="96">
        <f t="shared" si="11"/>
        <v>424152.27201825986</v>
      </c>
      <c r="D34" s="96">
        <f t="shared" si="12"/>
        <v>590.41943485989873</v>
      </c>
      <c r="E34" s="96">
        <f t="shared" si="13"/>
        <v>1767.301133409416</v>
      </c>
      <c r="F34" s="96">
        <f t="shared" si="14"/>
        <v>2357.7205682693148</v>
      </c>
      <c r="G34" s="96">
        <f t="shared" si="10"/>
        <v>423561.85258339997</v>
      </c>
    </row>
    <row r="35" spans="1:7" x14ac:dyDescent="0.25">
      <c r="A35" s="91" t="s">
        <v>117</v>
      </c>
      <c r="B35" s="89">
        <v>2014</v>
      </c>
      <c r="C35" s="96">
        <f t="shared" si="11"/>
        <v>423561.85258339997</v>
      </c>
      <c r="D35" s="96">
        <f t="shared" si="12"/>
        <v>592.87951583848167</v>
      </c>
      <c r="E35" s="96">
        <f t="shared" si="13"/>
        <v>1764.8410524308331</v>
      </c>
      <c r="F35" s="96">
        <f t="shared" si="14"/>
        <v>2357.7205682693148</v>
      </c>
      <c r="G35" s="96">
        <f t="shared" si="10"/>
        <v>422968.97306756151</v>
      </c>
    </row>
    <row r="36" spans="1:7" x14ac:dyDescent="0.25">
      <c r="A36" s="91" t="s">
        <v>118</v>
      </c>
      <c r="B36" s="89">
        <v>2014</v>
      </c>
      <c r="C36" s="96">
        <f t="shared" si="11"/>
        <v>422968.97306756151</v>
      </c>
      <c r="D36" s="96">
        <f t="shared" si="12"/>
        <v>595.34984715447513</v>
      </c>
      <c r="E36" s="96">
        <f t="shared" si="13"/>
        <v>1762.3707211148396</v>
      </c>
      <c r="F36" s="96">
        <f t="shared" si="14"/>
        <v>2357.7205682693148</v>
      </c>
      <c r="G36" s="96">
        <f t="shared" si="10"/>
        <v>422373.62322040705</v>
      </c>
    </row>
    <row r="37" spans="1:7" x14ac:dyDescent="0.25">
      <c r="A37" s="91" t="s">
        <v>119</v>
      </c>
      <c r="B37" s="89">
        <v>2014</v>
      </c>
      <c r="C37" s="96">
        <f t="shared" si="11"/>
        <v>422373.62322040705</v>
      </c>
      <c r="D37" s="96">
        <f t="shared" si="12"/>
        <v>597.83047151761866</v>
      </c>
      <c r="E37" s="96">
        <f t="shared" si="13"/>
        <v>1759.8900967516961</v>
      </c>
      <c r="F37" s="96">
        <f t="shared" si="14"/>
        <v>2357.7205682693148</v>
      </c>
      <c r="G37" s="96">
        <f t="shared" si="10"/>
        <v>421775.79274888942</v>
      </c>
    </row>
    <row r="38" spans="1:7" x14ac:dyDescent="0.25">
      <c r="A38" s="91" t="s">
        <v>120</v>
      </c>
      <c r="B38" s="89">
        <v>2014</v>
      </c>
      <c r="C38" s="96">
        <f t="shared" si="11"/>
        <v>421775.79274888942</v>
      </c>
      <c r="D38" s="96">
        <f t="shared" si="12"/>
        <v>600.32143181560878</v>
      </c>
      <c r="E38" s="96">
        <f t="shared" si="13"/>
        <v>1757.399136453706</v>
      </c>
      <c r="F38" s="96">
        <f t="shared" si="14"/>
        <v>2357.7205682693148</v>
      </c>
      <c r="G38" s="96">
        <f t="shared" si="10"/>
        <v>421175.4713170738</v>
      </c>
    </row>
    <row r="39" spans="1:7" x14ac:dyDescent="0.25">
      <c r="A39" s="91" t="s">
        <v>121</v>
      </c>
      <c r="B39" s="89">
        <v>2014</v>
      </c>
      <c r="C39" s="96">
        <f t="shared" si="11"/>
        <v>421175.4713170738</v>
      </c>
      <c r="D39" s="96">
        <f t="shared" si="12"/>
        <v>602.82277111484063</v>
      </c>
      <c r="E39" s="96">
        <f t="shared" si="13"/>
        <v>1754.8977971544741</v>
      </c>
      <c r="F39" s="96">
        <f t="shared" si="14"/>
        <v>2357.7205682693148</v>
      </c>
      <c r="G39" s="96">
        <f t="shared" si="10"/>
        <v>420572.64854595897</v>
      </c>
    </row>
    <row r="40" spans="1:7" x14ac:dyDescent="0.25">
      <c r="A40" s="91" t="s">
        <v>122</v>
      </c>
      <c r="B40" s="89">
        <v>2014</v>
      </c>
      <c r="C40" s="96">
        <f t="shared" si="11"/>
        <v>420572.64854595897</v>
      </c>
      <c r="D40" s="96">
        <f t="shared" si="12"/>
        <v>605.33453266115248</v>
      </c>
      <c r="E40" s="96">
        <f t="shared" si="13"/>
        <v>1752.3860356081623</v>
      </c>
      <c r="F40" s="96">
        <f t="shared" si="14"/>
        <v>2357.7205682693148</v>
      </c>
      <c r="G40" s="96">
        <f t="shared" si="10"/>
        <v>419967.31401329784</v>
      </c>
    </row>
    <row r="41" spans="1:7" x14ac:dyDescent="0.25">
      <c r="A41" s="91" t="s">
        <v>123</v>
      </c>
      <c r="B41" s="89">
        <v>2014</v>
      </c>
      <c r="C41" s="96">
        <f t="shared" si="11"/>
        <v>419967.31401329784</v>
      </c>
      <c r="D41" s="96">
        <f t="shared" si="12"/>
        <v>607.85675988057369</v>
      </c>
      <c r="E41" s="96">
        <f t="shared" si="13"/>
        <v>1749.8638083887411</v>
      </c>
      <c r="F41" s="96">
        <f t="shared" si="14"/>
        <v>2357.7205682693148</v>
      </c>
      <c r="G41" s="96">
        <f t="shared" si="10"/>
        <v>419359.45725341729</v>
      </c>
    </row>
    <row r="42" spans="1:7" x14ac:dyDescent="0.25">
      <c r="A42" s="91" t="s">
        <v>124</v>
      </c>
      <c r="B42" s="89">
        <v>2014</v>
      </c>
      <c r="C42" s="96">
        <f t="shared" si="11"/>
        <v>419359.45725341729</v>
      </c>
      <c r="D42" s="96">
        <f t="shared" si="12"/>
        <v>610.38949638007603</v>
      </c>
      <c r="E42" s="96">
        <f t="shared" si="13"/>
        <v>1747.3310718892387</v>
      </c>
      <c r="F42" s="96">
        <f t="shared" si="14"/>
        <v>2357.7205682693148</v>
      </c>
      <c r="G42" s="97">
        <f t="shared" si="10"/>
        <v>418749.06775703724</v>
      </c>
    </row>
    <row r="43" spans="1:7" x14ac:dyDescent="0.25">
      <c r="B43" s="89"/>
      <c r="C43" s="97"/>
      <c r="D43" s="97">
        <f>SUM(D31:D42)</f>
        <v>7159.8039463753948</v>
      </c>
      <c r="E43" s="97">
        <f>SUM(E31:E42)</f>
        <v>21132.842872856381</v>
      </c>
      <c r="F43" s="96"/>
      <c r="G43" s="96"/>
    </row>
    <row r="44" spans="1:7" x14ac:dyDescent="0.25">
      <c r="B44" s="89"/>
      <c r="C44" s="96"/>
      <c r="D44" s="96"/>
      <c r="E44" s="96"/>
      <c r="F44" s="96"/>
      <c r="G44" s="96"/>
    </row>
    <row r="45" spans="1:7" x14ac:dyDescent="0.25">
      <c r="A45" s="91" t="s">
        <v>113</v>
      </c>
      <c r="B45" s="89">
        <v>2015</v>
      </c>
      <c r="C45" s="96">
        <f>+G42</f>
        <v>418749.06775703724</v>
      </c>
      <c r="D45" s="96">
        <f>+F45-E45</f>
        <v>612.93278594832623</v>
      </c>
      <c r="E45" s="96">
        <f>+C45*$J$5</f>
        <v>1744.7877823209885</v>
      </c>
      <c r="F45" s="96">
        <f>+F42</f>
        <v>2357.7205682693148</v>
      </c>
      <c r="G45" s="96">
        <f t="shared" ref="G45:G56" si="15">+C45-D45</f>
        <v>418136.1349710889</v>
      </c>
    </row>
    <row r="46" spans="1:7" x14ac:dyDescent="0.25">
      <c r="A46" s="91" t="s">
        <v>114</v>
      </c>
      <c r="B46" s="89">
        <v>2015</v>
      </c>
      <c r="C46" s="96">
        <f t="shared" ref="C46:C56" si="16">+G45</f>
        <v>418136.1349710889</v>
      </c>
      <c r="D46" s="96">
        <f t="shared" ref="D46:D56" si="17">+F46-E46</f>
        <v>615.48667255644432</v>
      </c>
      <c r="E46" s="96">
        <f t="shared" ref="E46:E56" si="18">+C46*$J$5</f>
        <v>1742.2338957128704</v>
      </c>
      <c r="F46" s="96">
        <f>+F45</f>
        <v>2357.7205682693148</v>
      </c>
      <c r="G46" s="96">
        <f t="shared" si="15"/>
        <v>417520.64829853247</v>
      </c>
    </row>
    <row r="47" spans="1:7" x14ac:dyDescent="0.25">
      <c r="A47" s="91" t="s">
        <v>115</v>
      </c>
      <c r="B47" s="89">
        <v>2015</v>
      </c>
      <c r="C47" s="96">
        <f t="shared" si="16"/>
        <v>417520.64829853247</v>
      </c>
      <c r="D47" s="96">
        <f t="shared" si="17"/>
        <v>618.0512003587628</v>
      </c>
      <c r="E47" s="96">
        <f t="shared" si="18"/>
        <v>1739.669367910552</v>
      </c>
      <c r="F47" s="96">
        <f t="shared" ref="F47:F56" si="19">+F46</f>
        <v>2357.7205682693148</v>
      </c>
      <c r="G47" s="96">
        <f t="shared" si="15"/>
        <v>416902.59709817369</v>
      </c>
    </row>
    <row r="48" spans="1:7" x14ac:dyDescent="0.25">
      <c r="A48" s="91" t="s">
        <v>116</v>
      </c>
      <c r="B48" s="89">
        <v>2015</v>
      </c>
      <c r="C48" s="96">
        <f t="shared" si="16"/>
        <v>416902.59709817369</v>
      </c>
      <c r="D48" s="96">
        <f t="shared" si="17"/>
        <v>620.62641369359108</v>
      </c>
      <c r="E48" s="96">
        <f t="shared" si="18"/>
        <v>1737.0941545757237</v>
      </c>
      <c r="F48" s="96">
        <f t="shared" si="19"/>
        <v>2357.7205682693148</v>
      </c>
      <c r="G48" s="96">
        <f t="shared" si="15"/>
        <v>416281.9706844801</v>
      </c>
    </row>
    <row r="49" spans="1:7" x14ac:dyDescent="0.25">
      <c r="A49" s="91" t="s">
        <v>117</v>
      </c>
      <c r="B49" s="89">
        <v>2015</v>
      </c>
      <c r="C49" s="96">
        <f t="shared" si="16"/>
        <v>416281.9706844801</v>
      </c>
      <c r="D49" s="96">
        <f t="shared" si="17"/>
        <v>623.21235708398103</v>
      </c>
      <c r="E49" s="96">
        <f t="shared" si="18"/>
        <v>1734.5082111853337</v>
      </c>
      <c r="F49" s="96">
        <f t="shared" si="19"/>
        <v>2357.7205682693148</v>
      </c>
      <c r="G49" s="96">
        <f t="shared" si="15"/>
        <v>415658.75832739612</v>
      </c>
    </row>
    <row r="50" spans="1:7" x14ac:dyDescent="0.25">
      <c r="A50" s="91" t="s">
        <v>118</v>
      </c>
      <c r="B50" s="89">
        <v>2015</v>
      </c>
      <c r="C50" s="96">
        <f t="shared" si="16"/>
        <v>415658.75832739612</v>
      </c>
      <c r="D50" s="96">
        <f t="shared" si="17"/>
        <v>625.8090752384976</v>
      </c>
      <c r="E50" s="96">
        <f t="shared" si="18"/>
        <v>1731.9114930308172</v>
      </c>
      <c r="F50" s="96">
        <f t="shared" si="19"/>
        <v>2357.7205682693148</v>
      </c>
      <c r="G50" s="96">
        <f t="shared" si="15"/>
        <v>415032.94925215765</v>
      </c>
    </row>
    <row r="51" spans="1:7" x14ac:dyDescent="0.25">
      <c r="A51" s="91" t="s">
        <v>119</v>
      </c>
      <c r="B51" s="89">
        <v>2015</v>
      </c>
      <c r="C51" s="96">
        <f t="shared" si="16"/>
        <v>415032.94925215765</v>
      </c>
      <c r="D51" s="96">
        <f t="shared" si="17"/>
        <v>628.41661305199136</v>
      </c>
      <c r="E51" s="96">
        <f t="shared" si="18"/>
        <v>1729.3039552173234</v>
      </c>
      <c r="F51" s="96">
        <f t="shared" si="19"/>
        <v>2357.7205682693148</v>
      </c>
      <c r="G51" s="96">
        <f t="shared" si="15"/>
        <v>414404.53263910563</v>
      </c>
    </row>
    <row r="52" spans="1:7" x14ac:dyDescent="0.25">
      <c r="A52" s="91" t="s">
        <v>120</v>
      </c>
      <c r="B52" s="89">
        <v>2015</v>
      </c>
      <c r="C52" s="96">
        <f t="shared" si="16"/>
        <v>414404.53263910563</v>
      </c>
      <c r="D52" s="96">
        <f t="shared" si="17"/>
        <v>631.0350156063746</v>
      </c>
      <c r="E52" s="96">
        <f t="shared" si="18"/>
        <v>1726.6855526629402</v>
      </c>
      <c r="F52" s="96">
        <f t="shared" si="19"/>
        <v>2357.7205682693148</v>
      </c>
      <c r="G52" s="96">
        <f t="shared" si="15"/>
        <v>413773.49762349925</v>
      </c>
    </row>
    <row r="53" spans="1:7" x14ac:dyDescent="0.25">
      <c r="A53" s="91" t="s">
        <v>121</v>
      </c>
      <c r="B53" s="89">
        <v>2015</v>
      </c>
      <c r="C53" s="96">
        <f t="shared" si="16"/>
        <v>413773.49762349925</v>
      </c>
      <c r="D53" s="96">
        <f t="shared" si="17"/>
        <v>633.66432817140117</v>
      </c>
      <c r="E53" s="96">
        <f t="shared" si="18"/>
        <v>1724.0562400979136</v>
      </c>
      <c r="F53" s="96">
        <f t="shared" si="19"/>
        <v>2357.7205682693148</v>
      </c>
      <c r="G53" s="96">
        <f t="shared" si="15"/>
        <v>413139.83329532784</v>
      </c>
    </row>
    <row r="54" spans="1:7" x14ac:dyDescent="0.25">
      <c r="A54" s="91" t="s">
        <v>122</v>
      </c>
      <c r="B54" s="89">
        <v>2015</v>
      </c>
      <c r="C54" s="96">
        <f t="shared" si="16"/>
        <v>413139.83329532784</v>
      </c>
      <c r="D54" s="96">
        <f t="shared" si="17"/>
        <v>636.30459620544866</v>
      </c>
      <c r="E54" s="96">
        <f t="shared" si="18"/>
        <v>1721.4159720638661</v>
      </c>
      <c r="F54" s="96">
        <f t="shared" si="19"/>
        <v>2357.7205682693148</v>
      </c>
      <c r="G54" s="96">
        <f t="shared" si="15"/>
        <v>412503.52869912237</v>
      </c>
    </row>
    <row r="55" spans="1:7" x14ac:dyDescent="0.25">
      <c r="A55" s="91" t="s">
        <v>123</v>
      </c>
      <c r="B55" s="89">
        <v>2015</v>
      </c>
      <c r="C55" s="96">
        <f t="shared" si="16"/>
        <v>412503.52869912237</v>
      </c>
      <c r="D55" s="96">
        <f t="shared" si="17"/>
        <v>638.95586535630491</v>
      </c>
      <c r="E55" s="96">
        <f t="shared" si="18"/>
        <v>1718.7647029130098</v>
      </c>
      <c r="F55" s="96">
        <f t="shared" si="19"/>
        <v>2357.7205682693148</v>
      </c>
      <c r="G55" s="96">
        <f t="shared" si="15"/>
        <v>411864.57283376605</v>
      </c>
    </row>
    <row r="56" spans="1:7" x14ac:dyDescent="0.25">
      <c r="A56" s="91" t="s">
        <v>124</v>
      </c>
      <c r="B56" s="89">
        <v>2015</v>
      </c>
      <c r="C56" s="96">
        <f t="shared" si="16"/>
        <v>411864.57283376605</v>
      </c>
      <c r="D56" s="96">
        <f t="shared" si="17"/>
        <v>641.61818146195628</v>
      </c>
      <c r="E56" s="96">
        <f t="shared" si="18"/>
        <v>1716.1023868073585</v>
      </c>
      <c r="F56" s="96">
        <f t="shared" si="19"/>
        <v>2357.7205682693148</v>
      </c>
      <c r="G56" s="97">
        <f t="shared" si="15"/>
        <v>411222.95465230412</v>
      </c>
    </row>
    <row r="57" spans="1:7" x14ac:dyDescent="0.25">
      <c r="B57" s="89"/>
      <c r="C57" s="98"/>
      <c r="D57" s="97">
        <f>SUM(D45:D56)</f>
        <v>7526.11310473308</v>
      </c>
      <c r="E57" s="97">
        <f>SUM(E45:E56)</f>
        <v>20766.533714498695</v>
      </c>
    </row>
    <row r="58" spans="1:7" x14ac:dyDescent="0.25">
      <c r="B58" s="89"/>
    </row>
    <row r="59" spans="1:7" x14ac:dyDescent="0.25">
      <c r="A59" s="91" t="s">
        <v>113</v>
      </c>
      <c r="B59" s="89">
        <v>2016</v>
      </c>
      <c r="C59" s="96">
        <f t="shared" ref="C59" si="20">+G56</f>
        <v>411222.95465230412</v>
      </c>
      <c r="D59" s="96">
        <f t="shared" ref="D59:D70" si="21">+F59-E59</f>
        <v>644.29159055138098</v>
      </c>
      <c r="E59" s="96">
        <f>+C59*$J$5</f>
        <v>1713.4289777179338</v>
      </c>
      <c r="F59" s="96">
        <f t="shared" ref="F59" si="22">+F56</f>
        <v>2357.7205682693148</v>
      </c>
      <c r="G59" s="96">
        <f t="shared" ref="G59:G70" si="23">+C59-D59</f>
        <v>410578.66306175274</v>
      </c>
    </row>
    <row r="60" spans="1:7" x14ac:dyDescent="0.25">
      <c r="A60" s="91" t="s">
        <v>114</v>
      </c>
      <c r="B60" s="89">
        <v>2016</v>
      </c>
      <c r="C60" s="96">
        <f t="shared" ref="C60:C70" si="24">+G59</f>
        <v>410578.66306175274</v>
      </c>
      <c r="D60" s="96">
        <f t="shared" si="21"/>
        <v>646.97613884534508</v>
      </c>
      <c r="E60" s="96">
        <f t="shared" ref="E60:E70" si="25">+C60*$J$5</f>
        <v>1710.7444294239697</v>
      </c>
      <c r="F60" s="96">
        <f t="shared" ref="F60:F70" si="26">+F59</f>
        <v>2357.7205682693148</v>
      </c>
      <c r="G60" s="96">
        <f t="shared" si="23"/>
        <v>409931.68692290742</v>
      </c>
    </row>
    <row r="61" spans="1:7" x14ac:dyDescent="0.25">
      <c r="A61" s="91" t="s">
        <v>115</v>
      </c>
      <c r="B61" s="89">
        <v>2016</v>
      </c>
      <c r="C61" s="96">
        <f t="shared" si="24"/>
        <v>409931.68692290742</v>
      </c>
      <c r="D61" s="96">
        <f t="shared" si="21"/>
        <v>649.67187275720062</v>
      </c>
      <c r="E61" s="96">
        <f t="shared" si="25"/>
        <v>1708.0486955121141</v>
      </c>
      <c r="F61" s="96">
        <f t="shared" si="26"/>
        <v>2357.7205682693148</v>
      </c>
      <c r="G61" s="96">
        <f t="shared" si="23"/>
        <v>409282.01505015022</v>
      </c>
    </row>
    <row r="62" spans="1:7" x14ac:dyDescent="0.25">
      <c r="A62" s="91" t="s">
        <v>116</v>
      </c>
      <c r="B62" s="89">
        <v>2016</v>
      </c>
      <c r="C62" s="96">
        <f t="shared" si="24"/>
        <v>409282.01505015022</v>
      </c>
      <c r="D62" s="96">
        <f t="shared" si="21"/>
        <v>652.37883889368891</v>
      </c>
      <c r="E62" s="96">
        <f t="shared" si="25"/>
        <v>1705.3417293756258</v>
      </c>
      <c r="F62" s="96">
        <f t="shared" si="26"/>
        <v>2357.7205682693148</v>
      </c>
      <c r="G62" s="96">
        <f t="shared" si="23"/>
        <v>408629.63621125655</v>
      </c>
    </row>
    <row r="63" spans="1:7" x14ac:dyDescent="0.25">
      <c r="A63" s="91" t="s">
        <v>117</v>
      </c>
      <c r="B63" s="89">
        <v>2016</v>
      </c>
      <c r="C63" s="96">
        <f t="shared" si="24"/>
        <v>408629.63621125655</v>
      </c>
      <c r="D63" s="96">
        <f t="shared" si="21"/>
        <v>655.09708405574588</v>
      </c>
      <c r="E63" s="96">
        <f t="shared" si="25"/>
        <v>1702.6234842135689</v>
      </c>
      <c r="F63" s="96">
        <f t="shared" si="26"/>
        <v>2357.7205682693148</v>
      </c>
      <c r="G63" s="96">
        <f t="shared" si="23"/>
        <v>407974.53912720078</v>
      </c>
    </row>
    <row r="64" spans="1:7" x14ac:dyDescent="0.25">
      <c r="A64" s="91" t="s">
        <v>118</v>
      </c>
      <c r="B64" s="89">
        <v>2016</v>
      </c>
      <c r="C64" s="96">
        <f t="shared" si="24"/>
        <v>407974.53912720078</v>
      </c>
      <c r="D64" s="96">
        <f t="shared" si="21"/>
        <v>657.82665523931155</v>
      </c>
      <c r="E64" s="96">
        <f t="shared" si="25"/>
        <v>1699.8939130300032</v>
      </c>
      <c r="F64" s="96">
        <f t="shared" si="26"/>
        <v>2357.7205682693148</v>
      </c>
      <c r="G64" s="96">
        <f t="shared" si="23"/>
        <v>407316.71247196145</v>
      </c>
    </row>
    <row r="65" spans="1:7" x14ac:dyDescent="0.25">
      <c r="A65" s="91" t="s">
        <v>119</v>
      </c>
      <c r="B65" s="89">
        <v>2016</v>
      </c>
      <c r="C65" s="96">
        <f t="shared" si="24"/>
        <v>407316.71247196145</v>
      </c>
      <c r="D65" s="96">
        <f t="shared" si="21"/>
        <v>660.56759963614218</v>
      </c>
      <c r="E65" s="96">
        <f t="shared" si="25"/>
        <v>1697.1529686331726</v>
      </c>
      <c r="F65" s="96">
        <f t="shared" si="26"/>
        <v>2357.7205682693148</v>
      </c>
      <c r="G65" s="96">
        <f t="shared" si="23"/>
        <v>406656.1448723253</v>
      </c>
    </row>
    <row r="66" spans="1:7" x14ac:dyDescent="0.25">
      <c r="A66" s="91" t="s">
        <v>120</v>
      </c>
      <c r="B66" s="89">
        <v>2016</v>
      </c>
      <c r="C66" s="96">
        <f t="shared" si="24"/>
        <v>406656.1448723253</v>
      </c>
      <c r="D66" s="96">
        <f t="shared" si="21"/>
        <v>663.3199646346261</v>
      </c>
      <c r="E66" s="96">
        <f t="shared" si="25"/>
        <v>1694.4006036346887</v>
      </c>
      <c r="F66" s="96">
        <f t="shared" si="26"/>
        <v>2357.7205682693148</v>
      </c>
      <c r="G66" s="96">
        <f t="shared" si="23"/>
        <v>405992.82490769069</v>
      </c>
    </row>
    <row r="67" spans="1:7" x14ac:dyDescent="0.25">
      <c r="A67" s="91" t="s">
        <v>121</v>
      </c>
      <c r="B67" s="89">
        <v>2016</v>
      </c>
      <c r="C67" s="96">
        <f t="shared" si="24"/>
        <v>405992.82490769069</v>
      </c>
      <c r="D67" s="96">
        <f t="shared" si="21"/>
        <v>666.08379782060365</v>
      </c>
      <c r="E67" s="96">
        <f t="shared" si="25"/>
        <v>1691.6367704487111</v>
      </c>
      <c r="F67" s="96">
        <f t="shared" si="26"/>
        <v>2357.7205682693148</v>
      </c>
      <c r="G67" s="96">
        <f t="shared" si="23"/>
        <v>405326.74110987008</v>
      </c>
    </row>
    <row r="68" spans="1:7" x14ac:dyDescent="0.25">
      <c r="A68" s="91" t="s">
        <v>122</v>
      </c>
      <c r="B68" s="89">
        <v>2016</v>
      </c>
      <c r="C68" s="96">
        <f t="shared" si="24"/>
        <v>405326.74110987008</v>
      </c>
      <c r="D68" s="96">
        <f t="shared" si="21"/>
        <v>668.85914697818953</v>
      </c>
      <c r="E68" s="96">
        <f t="shared" si="25"/>
        <v>1688.8614212911252</v>
      </c>
      <c r="F68" s="96">
        <f t="shared" si="26"/>
        <v>2357.7205682693148</v>
      </c>
      <c r="G68" s="96">
        <f t="shared" si="23"/>
        <v>404657.8819628919</v>
      </c>
    </row>
    <row r="69" spans="1:7" x14ac:dyDescent="0.25">
      <c r="A69" s="91" t="s">
        <v>123</v>
      </c>
      <c r="B69" s="89">
        <v>2016</v>
      </c>
      <c r="C69" s="96">
        <f t="shared" si="24"/>
        <v>404657.8819628919</v>
      </c>
      <c r="D69" s="96">
        <f t="shared" si="21"/>
        <v>671.64606009059844</v>
      </c>
      <c r="E69" s="96">
        <f t="shared" si="25"/>
        <v>1686.0745081787163</v>
      </c>
      <c r="F69" s="96">
        <f t="shared" si="26"/>
        <v>2357.7205682693148</v>
      </c>
      <c r="G69" s="96">
        <f t="shared" si="23"/>
        <v>403986.23590280133</v>
      </c>
    </row>
    <row r="70" spans="1:7" x14ac:dyDescent="0.25">
      <c r="A70" s="91" t="s">
        <v>124</v>
      </c>
      <c r="B70" s="89">
        <v>2016</v>
      </c>
      <c r="C70" s="96">
        <f t="shared" si="24"/>
        <v>403986.23590280133</v>
      </c>
      <c r="D70" s="96">
        <f t="shared" si="21"/>
        <v>674.44458534097589</v>
      </c>
      <c r="E70" s="96">
        <f t="shared" si="25"/>
        <v>1683.2759829283389</v>
      </c>
      <c r="F70" s="96">
        <f t="shared" si="26"/>
        <v>2357.7205682693148</v>
      </c>
      <c r="G70" s="97">
        <f t="shared" si="23"/>
        <v>403311.79131746036</v>
      </c>
    </row>
    <row r="71" spans="1:7" x14ac:dyDescent="0.25">
      <c r="B71" s="89"/>
      <c r="C71" s="97"/>
      <c r="D71" s="97">
        <f t="shared" ref="D71:E71" si="27">SUM(D59:D70)</f>
        <v>7911.163334843809</v>
      </c>
      <c r="E71" s="97">
        <f t="shared" si="27"/>
        <v>20381.483484387969</v>
      </c>
      <c r="F71" s="96"/>
      <c r="G71" s="96"/>
    </row>
    <row r="72" spans="1:7" x14ac:dyDescent="0.25">
      <c r="B72" s="89"/>
      <c r="C72" s="96"/>
      <c r="D72" s="96"/>
      <c r="E72" s="96"/>
      <c r="F72" s="96"/>
      <c r="G72" s="96"/>
    </row>
    <row r="73" spans="1:7" x14ac:dyDescent="0.25">
      <c r="A73" s="91" t="s">
        <v>113</v>
      </c>
      <c r="B73" s="89">
        <v>2017</v>
      </c>
      <c r="C73" s="96">
        <f t="shared" ref="C73" si="28">+G70</f>
        <v>403311.79131746036</v>
      </c>
      <c r="D73" s="96">
        <f t="shared" ref="D73:D84" si="29">+F73-E73</f>
        <v>677.25477111322994</v>
      </c>
      <c r="E73" s="96">
        <f>+C73*$J$5</f>
        <v>1680.4657971560848</v>
      </c>
      <c r="F73" s="96">
        <f t="shared" ref="F73" si="30">+F70</f>
        <v>2357.7205682693148</v>
      </c>
      <c r="G73" s="96">
        <f t="shared" ref="G73:G84" si="31">+C73-D73</f>
        <v>402634.53654634714</v>
      </c>
    </row>
    <row r="74" spans="1:7" x14ac:dyDescent="0.25">
      <c r="A74" s="91" t="s">
        <v>114</v>
      </c>
      <c r="B74" s="89">
        <v>2017</v>
      </c>
      <c r="C74" s="96">
        <f t="shared" ref="C74:C84" si="32">+G73</f>
        <v>402634.53654634714</v>
      </c>
      <c r="D74" s="96">
        <f t="shared" si="29"/>
        <v>680.07666599286836</v>
      </c>
      <c r="E74" s="96">
        <f t="shared" ref="E74:E84" si="33">+C74*$J$5</f>
        <v>1677.6439022764464</v>
      </c>
      <c r="F74" s="96">
        <f t="shared" ref="F74:F84" si="34">+F73</f>
        <v>2357.7205682693148</v>
      </c>
      <c r="G74" s="96">
        <f t="shared" si="31"/>
        <v>401954.45988035429</v>
      </c>
    </row>
    <row r="75" spans="1:7" x14ac:dyDescent="0.25">
      <c r="A75" s="91" t="s">
        <v>115</v>
      </c>
      <c r="B75" s="89">
        <v>2017</v>
      </c>
      <c r="C75" s="96">
        <f t="shared" si="32"/>
        <v>401954.45988035429</v>
      </c>
      <c r="D75" s="96">
        <f t="shared" si="29"/>
        <v>682.91031876783859</v>
      </c>
      <c r="E75" s="96">
        <f t="shared" si="33"/>
        <v>1674.8102495014762</v>
      </c>
      <c r="F75" s="96">
        <f t="shared" si="34"/>
        <v>2357.7205682693148</v>
      </c>
      <c r="G75" s="96">
        <f t="shared" si="31"/>
        <v>401271.54956158646</v>
      </c>
    </row>
    <row r="76" spans="1:7" x14ac:dyDescent="0.25">
      <c r="A76" s="91" t="s">
        <v>116</v>
      </c>
      <c r="B76" s="89">
        <v>2017</v>
      </c>
      <c r="C76" s="96">
        <f t="shared" si="32"/>
        <v>401271.54956158646</v>
      </c>
      <c r="D76" s="96">
        <f t="shared" si="29"/>
        <v>685.75577842937128</v>
      </c>
      <c r="E76" s="96">
        <f t="shared" si="33"/>
        <v>1671.9647898399435</v>
      </c>
      <c r="F76" s="96">
        <f t="shared" si="34"/>
        <v>2357.7205682693148</v>
      </c>
      <c r="G76" s="96">
        <f t="shared" si="31"/>
        <v>400585.79378315707</v>
      </c>
    </row>
    <row r="77" spans="1:7" x14ac:dyDescent="0.25">
      <c r="A77" s="91" t="s">
        <v>117</v>
      </c>
      <c r="B77" s="89">
        <v>2017</v>
      </c>
      <c r="C77" s="96">
        <f t="shared" si="32"/>
        <v>400585.79378315707</v>
      </c>
      <c r="D77" s="96">
        <f t="shared" si="29"/>
        <v>688.613094172827</v>
      </c>
      <c r="E77" s="96">
        <f t="shared" si="33"/>
        <v>1669.1074740964877</v>
      </c>
      <c r="F77" s="96">
        <f t="shared" si="34"/>
        <v>2357.7205682693148</v>
      </c>
      <c r="G77" s="96">
        <f t="shared" si="31"/>
        <v>399897.18068898423</v>
      </c>
    </row>
    <row r="78" spans="1:7" x14ac:dyDescent="0.25">
      <c r="A78" s="91" t="s">
        <v>118</v>
      </c>
      <c r="B78" s="89">
        <v>2017</v>
      </c>
      <c r="C78" s="96">
        <f t="shared" si="32"/>
        <v>399897.18068898423</v>
      </c>
      <c r="D78" s="96">
        <f t="shared" si="29"/>
        <v>691.48231539854714</v>
      </c>
      <c r="E78" s="96">
        <f t="shared" si="33"/>
        <v>1666.2382528707676</v>
      </c>
      <c r="F78" s="96">
        <f t="shared" si="34"/>
        <v>2357.7205682693148</v>
      </c>
      <c r="G78" s="96">
        <f t="shared" si="31"/>
        <v>399205.69837358571</v>
      </c>
    </row>
    <row r="79" spans="1:7" x14ac:dyDescent="0.25">
      <c r="A79" s="91" t="s">
        <v>119</v>
      </c>
      <c r="B79" s="89">
        <v>2017</v>
      </c>
      <c r="C79" s="96">
        <f t="shared" si="32"/>
        <v>399205.69837358571</v>
      </c>
      <c r="D79" s="96">
        <f t="shared" si="29"/>
        <v>694.36349171270763</v>
      </c>
      <c r="E79" s="96">
        <f t="shared" si="33"/>
        <v>1663.3570765566071</v>
      </c>
      <c r="F79" s="96">
        <f t="shared" si="34"/>
        <v>2357.7205682693148</v>
      </c>
      <c r="G79" s="96">
        <f t="shared" si="31"/>
        <v>398511.33488187299</v>
      </c>
    </row>
    <row r="80" spans="1:7" x14ac:dyDescent="0.25">
      <c r="A80" s="91" t="s">
        <v>120</v>
      </c>
      <c r="B80" s="89">
        <v>2017</v>
      </c>
      <c r="C80" s="96">
        <f t="shared" si="32"/>
        <v>398511.33488187299</v>
      </c>
      <c r="D80" s="96">
        <f t="shared" si="29"/>
        <v>697.2566729281773</v>
      </c>
      <c r="E80" s="96">
        <f t="shared" si="33"/>
        <v>1660.4638953411375</v>
      </c>
      <c r="F80" s="96">
        <f t="shared" si="34"/>
        <v>2357.7205682693148</v>
      </c>
      <c r="G80" s="96">
        <f t="shared" si="31"/>
        <v>397814.07820894482</v>
      </c>
    </row>
    <row r="81" spans="1:7" x14ac:dyDescent="0.25">
      <c r="A81" s="91" t="s">
        <v>121</v>
      </c>
      <c r="B81" s="89">
        <v>2017</v>
      </c>
      <c r="C81" s="96">
        <f t="shared" si="32"/>
        <v>397814.07820894482</v>
      </c>
      <c r="D81" s="96">
        <f t="shared" si="29"/>
        <v>700.16190906537804</v>
      </c>
      <c r="E81" s="96">
        <f t="shared" si="33"/>
        <v>1657.5586592039367</v>
      </c>
      <c r="F81" s="96">
        <f t="shared" si="34"/>
        <v>2357.7205682693148</v>
      </c>
      <c r="G81" s="96">
        <f t="shared" si="31"/>
        <v>397113.91629987943</v>
      </c>
    </row>
    <row r="82" spans="1:7" x14ac:dyDescent="0.25">
      <c r="A82" s="91" t="s">
        <v>122</v>
      </c>
      <c r="B82" s="89">
        <v>2017</v>
      </c>
      <c r="C82" s="96">
        <f t="shared" si="32"/>
        <v>397113.91629987943</v>
      </c>
      <c r="D82" s="96">
        <f t="shared" si="29"/>
        <v>703.07925035315043</v>
      </c>
      <c r="E82" s="96">
        <f t="shared" si="33"/>
        <v>1654.6413179161643</v>
      </c>
      <c r="F82" s="96">
        <f t="shared" si="34"/>
        <v>2357.7205682693148</v>
      </c>
      <c r="G82" s="96">
        <f t="shared" si="31"/>
        <v>396410.83704952628</v>
      </c>
    </row>
    <row r="83" spans="1:7" x14ac:dyDescent="0.25">
      <c r="A83" s="91" t="s">
        <v>123</v>
      </c>
      <c r="B83" s="89">
        <v>2017</v>
      </c>
      <c r="C83" s="96">
        <f t="shared" si="32"/>
        <v>396410.83704952628</v>
      </c>
      <c r="D83" s="96">
        <f t="shared" si="29"/>
        <v>706.00874722962203</v>
      </c>
      <c r="E83" s="96">
        <f t="shared" si="33"/>
        <v>1651.7118210396927</v>
      </c>
      <c r="F83" s="96">
        <f t="shared" si="34"/>
        <v>2357.7205682693148</v>
      </c>
      <c r="G83" s="96">
        <f t="shared" si="31"/>
        <v>395704.82830229664</v>
      </c>
    </row>
    <row r="84" spans="1:7" x14ac:dyDescent="0.25">
      <c r="A84" s="91" t="s">
        <v>124</v>
      </c>
      <c r="B84" s="89">
        <v>2017</v>
      </c>
      <c r="C84" s="96">
        <f t="shared" si="32"/>
        <v>395704.82830229664</v>
      </c>
      <c r="D84" s="96">
        <f t="shared" si="29"/>
        <v>708.95045034307873</v>
      </c>
      <c r="E84" s="96">
        <f t="shared" si="33"/>
        <v>1648.770117926236</v>
      </c>
      <c r="F84" s="96">
        <f t="shared" si="34"/>
        <v>2357.7205682693148</v>
      </c>
      <c r="G84" s="97">
        <f t="shared" si="31"/>
        <v>394995.87785195356</v>
      </c>
    </row>
    <row r="85" spans="1:7" x14ac:dyDescent="0.25">
      <c r="B85" s="89"/>
      <c r="C85" s="98"/>
      <c r="D85" s="97">
        <f t="shared" ref="D85:E85" si="35">SUM(D73:D84)</f>
        <v>8315.9134655067955</v>
      </c>
      <c r="E85" s="97">
        <f t="shared" si="35"/>
        <v>19976.73335372498</v>
      </c>
    </row>
    <row r="86" spans="1:7" x14ac:dyDescent="0.25">
      <c r="B86" s="89"/>
    </row>
    <row r="87" spans="1:7" x14ac:dyDescent="0.25">
      <c r="A87" s="91" t="s">
        <v>113</v>
      </c>
      <c r="B87" s="89">
        <v>2018</v>
      </c>
      <c r="C87" s="96">
        <f t="shared" ref="C87" si="36">+G84</f>
        <v>394995.87785195356</v>
      </c>
      <c r="D87" s="96">
        <f t="shared" ref="D87:D98" si="37">+F87-E87</f>
        <v>711.90441055284168</v>
      </c>
      <c r="E87" s="96">
        <f>+C87*$J$5</f>
        <v>1645.8161577164731</v>
      </c>
      <c r="F87" s="96">
        <f t="shared" ref="F87" si="38">+F84</f>
        <v>2357.7205682693148</v>
      </c>
      <c r="G87" s="96">
        <f t="shared" ref="G87:G98" si="39">+C87-D87</f>
        <v>394283.97344140074</v>
      </c>
    </row>
    <row r="88" spans="1:7" x14ac:dyDescent="0.25">
      <c r="A88" s="91" t="s">
        <v>114</v>
      </c>
      <c r="B88" s="89">
        <v>2018</v>
      </c>
      <c r="C88" s="96">
        <f t="shared" ref="C88:C98" si="40">+G87</f>
        <v>394283.97344140074</v>
      </c>
      <c r="D88" s="96">
        <f t="shared" si="37"/>
        <v>714.870678930145</v>
      </c>
      <c r="E88" s="96">
        <f t="shared" ref="E88:E98" si="41">+C88*$J$5</f>
        <v>1642.8498893391697</v>
      </c>
      <c r="F88" s="96">
        <f t="shared" ref="F88:F98" si="42">+F87</f>
        <v>2357.7205682693148</v>
      </c>
      <c r="G88" s="96">
        <f t="shared" si="39"/>
        <v>393569.1027624706</v>
      </c>
    </row>
    <row r="89" spans="1:7" x14ac:dyDescent="0.25">
      <c r="A89" s="91" t="s">
        <v>115</v>
      </c>
      <c r="B89" s="89">
        <v>2018</v>
      </c>
      <c r="C89" s="96">
        <f t="shared" si="40"/>
        <v>393569.1027624706</v>
      </c>
      <c r="D89" s="96">
        <f t="shared" si="37"/>
        <v>717.84930675902069</v>
      </c>
      <c r="E89" s="96">
        <f t="shared" si="41"/>
        <v>1639.8712615102941</v>
      </c>
      <c r="F89" s="96">
        <f t="shared" si="42"/>
        <v>2357.7205682693148</v>
      </c>
      <c r="G89" s="96">
        <f t="shared" si="39"/>
        <v>392851.25345571159</v>
      </c>
    </row>
    <row r="90" spans="1:7" x14ac:dyDescent="0.25">
      <c r="A90" s="91" t="s">
        <v>116</v>
      </c>
      <c r="B90" s="89">
        <v>2018</v>
      </c>
      <c r="C90" s="96">
        <f t="shared" si="40"/>
        <v>392851.25345571159</v>
      </c>
      <c r="D90" s="96">
        <f t="shared" si="37"/>
        <v>720.84034553718311</v>
      </c>
      <c r="E90" s="96">
        <f t="shared" si="41"/>
        <v>1636.8802227321316</v>
      </c>
      <c r="F90" s="96">
        <f t="shared" si="42"/>
        <v>2357.7205682693148</v>
      </c>
      <c r="G90" s="96">
        <f t="shared" si="39"/>
        <v>392130.41311017441</v>
      </c>
    </row>
    <row r="91" spans="1:7" x14ac:dyDescent="0.25">
      <c r="A91" s="91" t="s">
        <v>117</v>
      </c>
      <c r="B91" s="89">
        <v>2018</v>
      </c>
      <c r="C91" s="96">
        <f t="shared" si="40"/>
        <v>392130.41311017441</v>
      </c>
      <c r="D91" s="96">
        <f t="shared" si="37"/>
        <v>723.84384697692144</v>
      </c>
      <c r="E91" s="96">
        <f t="shared" si="41"/>
        <v>1633.8767212923933</v>
      </c>
      <c r="F91" s="96">
        <f t="shared" si="42"/>
        <v>2357.7205682693148</v>
      </c>
      <c r="G91" s="96">
        <f t="shared" si="39"/>
        <v>391406.56926319748</v>
      </c>
    </row>
    <row r="92" spans="1:7" x14ac:dyDescent="0.25">
      <c r="A92" s="91" t="s">
        <v>118</v>
      </c>
      <c r="B92" s="89">
        <v>2018</v>
      </c>
      <c r="C92" s="96">
        <f t="shared" si="40"/>
        <v>391406.56926319748</v>
      </c>
      <c r="D92" s="96">
        <f t="shared" si="37"/>
        <v>726.85986300599188</v>
      </c>
      <c r="E92" s="96">
        <f t="shared" si="41"/>
        <v>1630.8607052633229</v>
      </c>
      <c r="F92" s="96">
        <f t="shared" si="42"/>
        <v>2357.7205682693148</v>
      </c>
      <c r="G92" s="96">
        <f t="shared" si="39"/>
        <v>390679.7094001915</v>
      </c>
    </row>
    <row r="93" spans="1:7" x14ac:dyDescent="0.25">
      <c r="A93" s="91" t="s">
        <v>119</v>
      </c>
      <c r="B93" s="89">
        <v>2018</v>
      </c>
      <c r="C93" s="96">
        <f t="shared" si="40"/>
        <v>390679.7094001915</v>
      </c>
      <c r="D93" s="96">
        <f t="shared" si="37"/>
        <v>729.88844576851693</v>
      </c>
      <c r="E93" s="96">
        <f t="shared" si="41"/>
        <v>1627.8321225007978</v>
      </c>
      <c r="F93" s="96">
        <f t="shared" si="42"/>
        <v>2357.7205682693148</v>
      </c>
      <c r="G93" s="96">
        <f t="shared" si="39"/>
        <v>389949.82095442299</v>
      </c>
    </row>
    <row r="94" spans="1:7" x14ac:dyDescent="0.25">
      <c r="A94" s="91" t="s">
        <v>120</v>
      </c>
      <c r="B94" s="89">
        <v>2018</v>
      </c>
      <c r="C94" s="96">
        <f t="shared" si="40"/>
        <v>389949.82095442299</v>
      </c>
      <c r="D94" s="96">
        <f t="shared" si="37"/>
        <v>732.92964762588554</v>
      </c>
      <c r="E94" s="96">
        <f t="shared" si="41"/>
        <v>1624.7909206434292</v>
      </c>
      <c r="F94" s="96">
        <f t="shared" si="42"/>
        <v>2357.7205682693148</v>
      </c>
      <c r="G94" s="96">
        <f t="shared" si="39"/>
        <v>389216.8913067971</v>
      </c>
    </row>
    <row r="95" spans="1:7" x14ac:dyDescent="0.25">
      <c r="A95" s="91" t="s">
        <v>121</v>
      </c>
      <c r="B95" s="89">
        <v>2018</v>
      </c>
      <c r="C95" s="96">
        <f t="shared" si="40"/>
        <v>389216.8913067971</v>
      </c>
      <c r="D95" s="96">
        <f t="shared" si="37"/>
        <v>735.98352115766011</v>
      </c>
      <c r="E95" s="96">
        <f t="shared" si="41"/>
        <v>1621.7370471116546</v>
      </c>
      <c r="F95" s="96">
        <f t="shared" si="42"/>
        <v>2357.7205682693148</v>
      </c>
      <c r="G95" s="96">
        <f t="shared" si="39"/>
        <v>388480.90778563946</v>
      </c>
    </row>
    <row r="96" spans="1:7" x14ac:dyDescent="0.25">
      <c r="A96" s="91" t="s">
        <v>122</v>
      </c>
      <c r="B96" s="89">
        <v>2018</v>
      </c>
      <c r="C96" s="96">
        <f t="shared" si="40"/>
        <v>388480.90778563946</v>
      </c>
      <c r="D96" s="96">
        <f t="shared" si="37"/>
        <v>739.05011916248372</v>
      </c>
      <c r="E96" s="96">
        <f t="shared" si="41"/>
        <v>1618.670449106831</v>
      </c>
      <c r="F96" s="96">
        <f t="shared" si="42"/>
        <v>2357.7205682693148</v>
      </c>
      <c r="G96" s="96">
        <f t="shared" si="39"/>
        <v>387741.85766647698</v>
      </c>
    </row>
    <row r="97" spans="1:7" x14ac:dyDescent="0.25">
      <c r="A97" s="91" t="s">
        <v>123</v>
      </c>
      <c r="B97" s="89">
        <v>2018</v>
      </c>
      <c r="C97" s="96">
        <f t="shared" si="40"/>
        <v>387741.85766647698</v>
      </c>
      <c r="D97" s="96">
        <f t="shared" si="37"/>
        <v>742.12949465899396</v>
      </c>
      <c r="E97" s="96">
        <f t="shared" si="41"/>
        <v>1615.5910736103208</v>
      </c>
      <c r="F97" s="96">
        <f t="shared" si="42"/>
        <v>2357.7205682693148</v>
      </c>
      <c r="G97" s="96">
        <f t="shared" si="39"/>
        <v>386999.72817181796</v>
      </c>
    </row>
    <row r="98" spans="1:7" x14ac:dyDescent="0.25">
      <c r="A98" s="91" t="s">
        <v>124</v>
      </c>
      <c r="B98" s="89">
        <v>2018</v>
      </c>
      <c r="C98" s="96">
        <f t="shared" si="40"/>
        <v>386999.72817181796</v>
      </c>
      <c r="D98" s="96">
        <f t="shared" si="37"/>
        <v>745.22170088673988</v>
      </c>
      <c r="E98" s="96">
        <f t="shared" si="41"/>
        <v>1612.4988673825749</v>
      </c>
      <c r="F98" s="96">
        <f t="shared" si="42"/>
        <v>2357.7205682693148</v>
      </c>
      <c r="G98" s="97">
        <f t="shared" si="39"/>
        <v>386254.50647093123</v>
      </c>
    </row>
    <row r="99" spans="1:7" x14ac:dyDescent="0.25">
      <c r="B99" s="89"/>
      <c r="C99" s="97"/>
      <c r="D99" s="97">
        <f t="shared" ref="D99:E99" si="43">SUM(D87:D98)</f>
        <v>8741.3713810223835</v>
      </c>
      <c r="E99" s="97">
        <f t="shared" si="43"/>
        <v>19551.275438209395</v>
      </c>
      <c r="F99" s="96"/>
      <c r="G99" s="96"/>
    </row>
    <row r="100" spans="1:7" x14ac:dyDescent="0.25">
      <c r="B100" s="89"/>
      <c r="C100" s="96"/>
      <c r="D100" s="96"/>
      <c r="E100" s="96"/>
      <c r="F100" s="96"/>
      <c r="G100" s="96"/>
    </row>
    <row r="101" spans="1:7" x14ac:dyDescent="0.25">
      <c r="A101" s="91" t="s">
        <v>113</v>
      </c>
      <c r="B101" s="89">
        <v>2019</v>
      </c>
      <c r="C101" s="96">
        <f t="shared" ref="C101" si="44">+G98</f>
        <v>386254.50647093123</v>
      </c>
      <c r="D101" s="96">
        <f t="shared" ref="D101:D112" si="45">+F101-E101</f>
        <v>748.3267913071013</v>
      </c>
      <c r="E101" s="96">
        <f>+C101*$J$5</f>
        <v>1609.3937769622135</v>
      </c>
      <c r="F101" s="96">
        <f t="shared" ref="F101" si="46">+F98</f>
        <v>2357.7205682693148</v>
      </c>
      <c r="G101" s="96">
        <f t="shared" ref="G101:G112" si="47">+C101-D101</f>
        <v>385506.17967962415</v>
      </c>
    </row>
    <row r="102" spans="1:7" x14ac:dyDescent="0.25">
      <c r="A102" s="91" t="s">
        <v>114</v>
      </c>
      <c r="B102" s="89">
        <v>2019</v>
      </c>
      <c r="C102" s="96">
        <f t="shared" ref="C102:C112" si="48">+G101</f>
        <v>385506.17967962415</v>
      </c>
      <c r="D102" s="96">
        <f t="shared" si="45"/>
        <v>751.44481960421422</v>
      </c>
      <c r="E102" s="96">
        <f t="shared" ref="E102:E112" si="49">+C102*$J$5</f>
        <v>1606.2757486651005</v>
      </c>
      <c r="F102" s="96">
        <f t="shared" ref="F102:F112" si="50">+F101</f>
        <v>2357.7205682693148</v>
      </c>
      <c r="G102" s="96">
        <f t="shared" si="47"/>
        <v>384754.73486001993</v>
      </c>
    </row>
    <row r="103" spans="1:7" x14ac:dyDescent="0.25">
      <c r="A103" s="91" t="s">
        <v>115</v>
      </c>
      <c r="B103" s="89">
        <v>2019</v>
      </c>
      <c r="C103" s="96">
        <f t="shared" si="48"/>
        <v>384754.73486001993</v>
      </c>
      <c r="D103" s="96">
        <f t="shared" si="45"/>
        <v>754.57583968589847</v>
      </c>
      <c r="E103" s="96">
        <f t="shared" si="49"/>
        <v>1603.1447285834163</v>
      </c>
      <c r="F103" s="96">
        <f t="shared" si="50"/>
        <v>2357.7205682693148</v>
      </c>
      <c r="G103" s="96">
        <f t="shared" si="47"/>
        <v>384000.15902033402</v>
      </c>
    </row>
    <row r="104" spans="1:7" x14ac:dyDescent="0.25">
      <c r="A104" s="91" t="s">
        <v>116</v>
      </c>
      <c r="B104" s="89">
        <v>2019</v>
      </c>
      <c r="C104" s="96">
        <f t="shared" si="48"/>
        <v>384000.15902033402</v>
      </c>
      <c r="D104" s="96">
        <f t="shared" si="45"/>
        <v>757.71990568458978</v>
      </c>
      <c r="E104" s="96">
        <f t="shared" si="49"/>
        <v>1600.000662584725</v>
      </c>
      <c r="F104" s="96">
        <f t="shared" si="50"/>
        <v>2357.7205682693148</v>
      </c>
      <c r="G104" s="96">
        <f t="shared" si="47"/>
        <v>383242.43911464943</v>
      </c>
    </row>
    <row r="105" spans="1:7" x14ac:dyDescent="0.25">
      <c r="A105" s="91" t="s">
        <v>117</v>
      </c>
      <c r="B105" s="89">
        <v>2019</v>
      </c>
      <c r="C105" s="96">
        <f t="shared" si="48"/>
        <v>383242.43911464943</v>
      </c>
      <c r="D105" s="96">
        <f t="shared" si="45"/>
        <v>760.87707195827556</v>
      </c>
      <c r="E105" s="96">
        <f t="shared" si="49"/>
        <v>1596.8434963110392</v>
      </c>
      <c r="F105" s="96">
        <f t="shared" si="50"/>
        <v>2357.7205682693148</v>
      </c>
      <c r="G105" s="96">
        <f t="shared" si="47"/>
        <v>382481.56204269116</v>
      </c>
    </row>
    <row r="106" spans="1:7" x14ac:dyDescent="0.25">
      <c r="A106" s="91" t="s">
        <v>118</v>
      </c>
      <c r="B106" s="89">
        <v>2019</v>
      </c>
      <c r="C106" s="96">
        <f t="shared" si="48"/>
        <v>382481.56204269116</v>
      </c>
      <c r="D106" s="96">
        <f t="shared" si="45"/>
        <v>764.04739309143497</v>
      </c>
      <c r="E106" s="96">
        <f t="shared" si="49"/>
        <v>1593.6731751778798</v>
      </c>
      <c r="F106" s="96">
        <f t="shared" si="50"/>
        <v>2357.7205682693148</v>
      </c>
      <c r="G106" s="96">
        <f t="shared" si="47"/>
        <v>381717.51464959973</v>
      </c>
    </row>
    <row r="107" spans="1:7" x14ac:dyDescent="0.25">
      <c r="A107" s="91" t="s">
        <v>119</v>
      </c>
      <c r="B107" s="89">
        <v>2019</v>
      </c>
      <c r="C107" s="96">
        <f t="shared" si="48"/>
        <v>381717.51464959973</v>
      </c>
      <c r="D107" s="96">
        <f t="shared" si="45"/>
        <v>767.23092389598264</v>
      </c>
      <c r="E107" s="96">
        <f t="shared" si="49"/>
        <v>1590.4896443733321</v>
      </c>
      <c r="F107" s="96">
        <f t="shared" si="50"/>
        <v>2357.7205682693148</v>
      </c>
      <c r="G107" s="96">
        <f t="shared" si="47"/>
        <v>380950.28372570378</v>
      </c>
    </row>
    <row r="108" spans="1:7" x14ac:dyDescent="0.25">
      <c r="A108" s="91" t="s">
        <v>120</v>
      </c>
      <c r="B108" s="89">
        <v>2019</v>
      </c>
      <c r="C108" s="96">
        <f t="shared" si="48"/>
        <v>380950.28372570378</v>
      </c>
      <c r="D108" s="96">
        <f t="shared" si="45"/>
        <v>770.42771941221577</v>
      </c>
      <c r="E108" s="96">
        <f t="shared" si="49"/>
        <v>1587.292848857099</v>
      </c>
      <c r="F108" s="96">
        <f t="shared" si="50"/>
        <v>2357.7205682693148</v>
      </c>
      <c r="G108" s="96">
        <f t="shared" si="47"/>
        <v>380179.85600629158</v>
      </c>
    </row>
    <row r="109" spans="1:7" x14ac:dyDescent="0.25">
      <c r="A109" s="91" t="s">
        <v>121</v>
      </c>
      <c r="B109" s="89">
        <v>2019</v>
      </c>
      <c r="C109" s="96">
        <f t="shared" si="48"/>
        <v>380179.85600629158</v>
      </c>
      <c r="D109" s="96">
        <f t="shared" si="45"/>
        <v>773.63783490976653</v>
      </c>
      <c r="E109" s="96">
        <f t="shared" si="49"/>
        <v>1584.0827333595482</v>
      </c>
      <c r="F109" s="96">
        <f t="shared" si="50"/>
        <v>2357.7205682693148</v>
      </c>
      <c r="G109" s="96">
        <f t="shared" si="47"/>
        <v>379406.2181713818</v>
      </c>
    </row>
    <row r="110" spans="1:7" x14ac:dyDescent="0.25">
      <c r="A110" s="91" t="s">
        <v>122</v>
      </c>
      <c r="B110" s="89">
        <v>2019</v>
      </c>
      <c r="C110" s="96">
        <f t="shared" si="48"/>
        <v>379406.2181713818</v>
      </c>
      <c r="D110" s="96">
        <f t="shared" si="45"/>
        <v>776.8613258885573</v>
      </c>
      <c r="E110" s="96">
        <f t="shared" si="49"/>
        <v>1580.8592423807575</v>
      </c>
      <c r="F110" s="96">
        <f t="shared" si="50"/>
        <v>2357.7205682693148</v>
      </c>
      <c r="G110" s="96">
        <f t="shared" si="47"/>
        <v>378629.35684549325</v>
      </c>
    </row>
    <row r="111" spans="1:7" x14ac:dyDescent="0.25">
      <c r="A111" s="91" t="s">
        <v>123</v>
      </c>
      <c r="B111" s="89">
        <v>2019</v>
      </c>
      <c r="C111" s="96">
        <f t="shared" si="48"/>
        <v>378629.35684549325</v>
      </c>
      <c r="D111" s="96">
        <f t="shared" si="45"/>
        <v>780.09824807975951</v>
      </c>
      <c r="E111" s="96">
        <f t="shared" si="49"/>
        <v>1577.6223201895552</v>
      </c>
      <c r="F111" s="96">
        <f t="shared" si="50"/>
        <v>2357.7205682693148</v>
      </c>
      <c r="G111" s="96">
        <f t="shared" si="47"/>
        <v>377849.25859741349</v>
      </c>
    </row>
    <row r="112" spans="1:7" x14ac:dyDescent="0.25">
      <c r="A112" s="91" t="s">
        <v>124</v>
      </c>
      <c r="B112" s="89">
        <v>2019</v>
      </c>
      <c r="C112" s="96">
        <f t="shared" si="48"/>
        <v>377849.25859741349</v>
      </c>
      <c r="D112" s="96">
        <f t="shared" si="45"/>
        <v>783.34865744675858</v>
      </c>
      <c r="E112" s="96">
        <f t="shared" si="49"/>
        <v>1574.3719108225562</v>
      </c>
      <c r="F112" s="96">
        <f t="shared" si="50"/>
        <v>2357.7205682693148</v>
      </c>
      <c r="G112" s="97">
        <f t="shared" si="47"/>
        <v>377065.90993996675</v>
      </c>
    </row>
    <row r="113" spans="1:7" x14ac:dyDescent="0.25">
      <c r="B113" s="89"/>
      <c r="C113" s="98"/>
      <c r="D113" s="97">
        <f t="shared" ref="D113:E113" si="51">SUM(D101:D112)</f>
        <v>9188.5965309645544</v>
      </c>
      <c r="E113" s="97">
        <f t="shared" si="51"/>
        <v>19104.050288267223</v>
      </c>
    </row>
    <row r="114" spans="1:7" x14ac:dyDescent="0.25">
      <c r="B114" s="89"/>
    </row>
    <row r="115" spans="1:7" x14ac:dyDescent="0.25">
      <c r="A115" s="91" t="s">
        <v>113</v>
      </c>
      <c r="B115" s="89">
        <v>2020</v>
      </c>
      <c r="C115" s="96">
        <f t="shared" ref="C115" si="52">+G112</f>
        <v>377065.90993996675</v>
      </c>
      <c r="D115" s="96">
        <f t="shared" ref="D115:D126" si="53">+F115-E115</f>
        <v>786.61261018612004</v>
      </c>
      <c r="E115" s="96">
        <f>+C115*$J$5</f>
        <v>1571.1079580831947</v>
      </c>
      <c r="F115" s="96">
        <f t="shared" ref="F115" si="54">+F112</f>
        <v>2357.7205682693148</v>
      </c>
      <c r="G115" s="96">
        <f t="shared" ref="G115:G126" si="55">+C115-D115</f>
        <v>376279.29732978065</v>
      </c>
    </row>
    <row r="116" spans="1:7" x14ac:dyDescent="0.25">
      <c r="A116" s="91" t="s">
        <v>114</v>
      </c>
      <c r="B116" s="89">
        <v>2020</v>
      </c>
      <c r="C116" s="96">
        <f t="shared" ref="C116:C126" si="56">+G115</f>
        <v>376279.29732978065</v>
      </c>
      <c r="D116" s="96">
        <f t="shared" si="53"/>
        <v>789.89016272856202</v>
      </c>
      <c r="E116" s="96">
        <f t="shared" ref="E116:E126" si="57">+C116*$J$5</f>
        <v>1567.8304055407527</v>
      </c>
      <c r="F116" s="96">
        <f t="shared" ref="F116:F126" si="58">+F115</f>
        <v>2357.7205682693148</v>
      </c>
      <c r="G116" s="96">
        <f t="shared" si="55"/>
        <v>375489.40716705209</v>
      </c>
    </row>
    <row r="117" spans="1:7" x14ac:dyDescent="0.25">
      <c r="A117" s="91" t="s">
        <v>115</v>
      </c>
      <c r="B117" s="89">
        <v>2020</v>
      </c>
      <c r="C117" s="96">
        <f t="shared" si="56"/>
        <v>375489.40716705209</v>
      </c>
      <c r="D117" s="96">
        <f t="shared" si="53"/>
        <v>793.18137173993114</v>
      </c>
      <c r="E117" s="96">
        <f t="shared" si="57"/>
        <v>1564.5391965293836</v>
      </c>
      <c r="F117" s="96">
        <f t="shared" si="58"/>
        <v>2357.7205682693148</v>
      </c>
      <c r="G117" s="96">
        <f t="shared" si="55"/>
        <v>374696.22579531214</v>
      </c>
    </row>
    <row r="118" spans="1:7" x14ac:dyDescent="0.25">
      <c r="A118" s="91" t="s">
        <v>116</v>
      </c>
      <c r="B118" s="89">
        <v>2020</v>
      </c>
      <c r="C118" s="96">
        <f t="shared" si="56"/>
        <v>374696.22579531214</v>
      </c>
      <c r="D118" s="96">
        <f t="shared" si="53"/>
        <v>796.48629412218088</v>
      </c>
      <c r="E118" s="96">
        <f t="shared" si="57"/>
        <v>1561.2342741471339</v>
      </c>
      <c r="F118" s="96">
        <f t="shared" si="58"/>
        <v>2357.7205682693148</v>
      </c>
      <c r="G118" s="96">
        <f t="shared" si="55"/>
        <v>373899.73950118996</v>
      </c>
    </row>
    <row r="119" spans="1:7" x14ac:dyDescent="0.25">
      <c r="A119" s="91" t="s">
        <v>117</v>
      </c>
      <c r="B119" s="89">
        <v>2020</v>
      </c>
      <c r="C119" s="96">
        <f t="shared" si="56"/>
        <v>373899.73950118996</v>
      </c>
      <c r="D119" s="96">
        <f t="shared" si="53"/>
        <v>799.80498701435658</v>
      </c>
      <c r="E119" s="96">
        <f t="shared" si="57"/>
        <v>1557.9155812549582</v>
      </c>
      <c r="F119" s="96">
        <f t="shared" si="58"/>
        <v>2357.7205682693148</v>
      </c>
      <c r="G119" s="96">
        <f t="shared" si="55"/>
        <v>373099.93451417563</v>
      </c>
    </row>
    <row r="120" spans="1:7" x14ac:dyDescent="0.25">
      <c r="A120" s="91" t="s">
        <v>118</v>
      </c>
      <c r="B120" s="89">
        <v>2020</v>
      </c>
      <c r="C120" s="96">
        <f t="shared" si="56"/>
        <v>373099.93451417563</v>
      </c>
      <c r="D120" s="96">
        <f t="shared" si="53"/>
        <v>803.13750779358293</v>
      </c>
      <c r="E120" s="96">
        <f t="shared" si="57"/>
        <v>1554.5830604757318</v>
      </c>
      <c r="F120" s="96">
        <f t="shared" si="58"/>
        <v>2357.7205682693148</v>
      </c>
      <c r="G120" s="96">
        <f t="shared" si="55"/>
        <v>372296.79700638202</v>
      </c>
    </row>
    <row r="121" spans="1:7" x14ac:dyDescent="0.25">
      <c r="A121" s="91" t="s">
        <v>119</v>
      </c>
      <c r="B121" s="89">
        <v>2020</v>
      </c>
      <c r="C121" s="96">
        <f t="shared" si="56"/>
        <v>372296.79700638202</v>
      </c>
      <c r="D121" s="96">
        <f t="shared" si="53"/>
        <v>806.48391407605641</v>
      </c>
      <c r="E121" s="96">
        <f t="shared" si="57"/>
        <v>1551.2366541932583</v>
      </c>
      <c r="F121" s="96">
        <f t="shared" si="58"/>
        <v>2357.7205682693148</v>
      </c>
      <c r="G121" s="96">
        <f t="shared" si="55"/>
        <v>371490.31309230597</v>
      </c>
    </row>
    <row r="122" spans="1:7" x14ac:dyDescent="0.25">
      <c r="A122" s="91" t="s">
        <v>120</v>
      </c>
      <c r="B122" s="89">
        <v>2020</v>
      </c>
      <c r="C122" s="96">
        <f t="shared" si="56"/>
        <v>371490.31309230597</v>
      </c>
      <c r="D122" s="96">
        <f t="shared" si="53"/>
        <v>809.84426371803988</v>
      </c>
      <c r="E122" s="96">
        <f t="shared" si="57"/>
        <v>1547.8763045512749</v>
      </c>
      <c r="F122" s="96">
        <f t="shared" si="58"/>
        <v>2357.7205682693148</v>
      </c>
      <c r="G122" s="96">
        <f t="shared" si="55"/>
        <v>370680.46882858791</v>
      </c>
    </row>
    <row r="123" spans="1:7" x14ac:dyDescent="0.25">
      <c r="A123" s="91" t="s">
        <v>121</v>
      </c>
      <c r="B123" s="89">
        <v>2020</v>
      </c>
      <c r="C123" s="96">
        <f t="shared" si="56"/>
        <v>370680.46882858791</v>
      </c>
      <c r="D123" s="96">
        <f t="shared" si="53"/>
        <v>813.21861481686506</v>
      </c>
      <c r="E123" s="96">
        <f t="shared" si="57"/>
        <v>1544.5019534524497</v>
      </c>
      <c r="F123" s="96">
        <f t="shared" si="58"/>
        <v>2357.7205682693148</v>
      </c>
      <c r="G123" s="96">
        <f t="shared" si="55"/>
        <v>369867.25021377107</v>
      </c>
    </row>
    <row r="124" spans="1:7" x14ac:dyDescent="0.25">
      <c r="A124" s="91" t="s">
        <v>122</v>
      </c>
      <c r="B124" s="89">
        <v>2020</v>
      </c>
      <c r="C124" s="96">
        <f t="shared" si="56"/>
        <v>369867.25021377107</v>
      </c>
      <c r="D124" s="96">
        <f t="shared" si="53"/>
        <v>816.60702571193542</v>
      </c>
      <c r="E124" s="96">
        <f t="shared" si="57"/>
        <v>1541.1135425573793</v>
      </c>
      <c r="F124" s="96">
        <f t="shared" si="58"/>
        <v>2357.7205682693148</v>
      </c>
      <c r="G124" s="96">
        <f t="shared" si="55"/>
        <v>369050.64318805916</v>
      </c>
    </row>
    <row r="125" spans="1:7" x14ac:dyDescent="0.25">
      <c r="A125" s="91" t="s">
        <v>123</v>
      </c>
      <c r="B125" s="89">
        <v>2020</v>
      </c>
      <c r="C125" s="96">
        <f t="shared" si="56"/>
        <v>369050.64318805916</v>
      </c>
      <c r="D125" s="96">
        <f t="shared" si="53"/>
        <v>820.00955498573489</v>
      </c>
      <c r="E125" s="96">
        <f t="shared" si="57"/>
        <v>1537.7110132835799</v>
      </c>
      <c r="F125" s="96">
        <f t="shared" si="58"/>
        <v>2357.7205682693148</v>
      </c>
      <c r="G125" s="96">
        <f t="shared" si="55"/>
        <v>368230.63363307342</v>
      </c>
    </row>
    <row r="126" spans="1:7" x14ac:dyDescent="0.25">
      <c r="A126" s="91" t="s">
        <v>124</v>
      </c>
      <c r="B126" s="89">
        <v>2020</v>
      </c>
      <c r="C126" s="96">
        <f t="shared" si="56"/>
        <v>368230.63363307342</v>
      </c>
      <c r="D126" s="96">
        <f t="shared" si="53"/>
        <v>823.42626146484213</v>
      </c>
      <c r="E126" s="96">
        <f t="shared" si="57"/>
        <v>1534.2943068044726</v>
      </c>
      <c r="F126" s="96">
        <f t="shared" si="58"/>
        <v>2357.7205682693148</v>
      </c>
      <c r="G126" s="97">
        <f t="shared" si="55"/>
        <v>367407.20737160859</v>
      </c>
    </row>
    <row r="127" spans="1:7" x14ac:dyDescent="0.25">
      <c r="B127" s="89"/>
      <c r="C127" s="97"/>
      <c r="D127" s="97">
        <f t="shared" ref="D127:E127" si="59">SUM(D115:D126)</f>
        <v>9658.7025683582069</v>
      </c>
      <c r="E127" s="97">
        <f t="shared" si="59"/>
        <v>18633.94425087357</v>
      </c>
      <c r="F127" s="96"/>
      <c r="G127" s="96"/>
    </row>
    <row r="128" spans="1:7" x14ac:dyDescent="0.25">
      <c r="B128" s="89"/>
      <c r="C128" s="96"/>
      <c r="D128" s="96"/>
      <c r="E128" s="96"/>
      <c r="F128" s="96"/>
      <c r="G128" s="96"/>
    </row>
    <row r="129" spans="1:7" x14ac:dyDescent="0.25">
      <c r="A129" s="91" t="s">
        <v>113</v>
      </c>
      <c r="B129" s="89">
        <v>2021</v>
      </c>
      <c r="C129" s="96">
        <f t="shared" ref="C129" si="60">+G126</f>
        <v>367407.20737160859</v>
      </c>
      <c r="D129" s="96">
        <f t="shared" ref="D129:D140" si="61">+F129-E129</f>
        <v>826.85720422094573</v>
      </c>
      <c r="E129" s="96">
        <f>+C129*$J$5</f>
        <v>1530.863364048369</v>
      </c>
      <c r="F129" s="96">
        <f t="shared" ref="F129" si="62">+F126</f>
        <v>2357.7205682693148</v>
      </c>
      <c r="G129" s="96">
        <f t="shared" ref="G129:G140" si="63">+C129-D129</f>
        <v>366580.35016738763</v>
      </c>
    </row>
    <row r="130" spans="1:7" x14ac:dyDescent="0.25">
      <c r="A130" s="91" t="s">
        <v>114</v>
      </c>
      <c r="B130" s="89">
        <v>2021</v>
      </c>
      <c r="C130" s="96">
        <f t="shared" ref="C130:C140" si="64">+G129</f>
        <v>366580.35016738763</v>
      </c>
      <c r="D130" s="96">
        <f t="shared" si="61"/>
        <v>830.30244257186632</v>
      </c>
      <c r="E130" s="96">
        <f t="shared" ref="E130:E140" si="65">+C130*$J$5</f>
        <v>1527.4181256974484</v>
      </c>
      <c r="F130" s="96">
        <f t="shared" ref="F130:F140" si="66">+F129</f>
        <v>2357.7205682693148</v>
      </c>
      <c r="G130" s="96">
        <f t="shared" si="63"/>
        <v>365750.04772481578</v>
      </c>
    </row>
    <row r="131" spans="1:7" x14ac:dyDescent="0.25">
      <c r="A131" s="91" t="s">
        <v>115</v>
      </c>
      <c r="B131" s="89">
        <v>2021</v>
      </c>
      <c r="C131" s="96">
        <f t="shared" si="64"/>
        <v>365750.04772481578</v>
      </c>
      <c r="D131" s="96">
        <f t="shared" si="61"/>
        <v>833.76203608258243</v>
      </c>
      <c r="E131" s="96">
        <f t="shared" si="65"/>
        <v>1523.9585321867323</v>
      </c>
      <c r="F131" s="96">
        <f t="shared" si="66"/>
        <v>2357.7205682693148</v>
      </c>
      <c r="G131" s="96">
        <f t="shared" si="63"/>
        <v>364916.28568873322</v>
      </c>
    </row>
    <row r="132" spans="1:7" x14ac:dyDescent="0.25">
      <c r="A132" s="91" t="s">
        <v>116</v>
      </c>
      <c r="B132" s="89">
        <v>2021</v>
      </c>
      <c r="C132" s="96">
        <f t="shared" si="64"/>
        <v>364916.28568873322</v>
      </c>
      <c r="D132" s="96">
        <f t="shared" si="61"/>
        <v>837.23604456625981</v>
      </c>
      <c r="E132" s="96">
        <f t="shared" si="65"/>
        <v>1520.4845237030549</v>
      </c>
      <c r="F132" s="96">
        <f t="shared" si="66"/>
        <v>2357.7205682693148</v>
      </c>
      <c r="G132" s="96">
        <f t="shared" si="63"/>
        <v>364079.04964416695</v>
      </c>
    </row>
    <row r="133" spans="1:7" x14ac:dyDescent="0.25">
      <c r="A133" s="91" t="s">
        <v>117</v>
      </c>
      <c r="B133" s="89">
        <v>2021</v>
      </c>
      <c r="C133" s="96">
        <f t="shared" si="64"/>
        <v>364079.04964416695</v>
      </c>
      <c r="D133" s="96">
        <f t="shared" si="61"/>
        <v>840.72452808528578</v>
      </c>
      <c r="E133" s="96">
        <f t="shared" si="65"/>
        <v>1516.996040184029</v>
      </c>
      <c r="F133" s="96">
        <f t="shared" si="66"/>
        <v>2357.7205682693148</v>
      </c>
      <c r="G133" s="96">
        <f t="shared" si="63"/>
        <v>363238.32511608169</v>
      </c>
    </row>
    <row r="134" spans="1:7" x14ac:dyDescent="0.25">
      <c r="A134" s="91" t="s">
        <v>118</v>
      </c>
      <c r="B134" s="89">
        <v>2021</v>
      </c>
      <c r="C134" s="96">
        <f t="shared" si="64"/>
        <v>363238.32511608169</v>
      </c>
      <c r="D134" s="96">
        <f t="shared" si="61"/>
        <v>844.22754695230765</v>
      </c>
      <c r="E134" s="96">
        <f t="shared" si="65"/>
        <v>1513.4930213170071</v>
      </c>
      <c r="F134" s="96">
        <f t="shared" si="66"/>
        <v>2357.7205682693148</v>
      </c>
      <c r="G134" s="96">
        <f t="shared" si="63"/>
        <v>362394.09756912937</v>
      </c>
    </row>
    <row r="135" spans="1:7" x14ac:dyDescent="0.25">
      <c r="A135" s="91" t="s">
        <v>119</v>
      </c>
      <c r="B135" s="89">
        <v>2021</v>
      </c>
      <c r="C135" s="96">
        <f t="shared" si="64"/>
        <v>362394.09756912937</v>
      </c>
      <c r="D135" s="96">
        <f t="shared" si="61"/>
        <v>847.74516173127563</v>
      </c>
      <c r="E135" s="96">
        <f t="shared" si="65"/>
        <v>1509.9754065380391</v>
      </c>
      <c r="F135" s="96">
        <f t="shared" si="66"/>
        <v>2357.7205682693148</v>
      </c>
      <c r="G135" s="96">
        <f t="shared" si="63"/>
        <v>361546.35240739811</v>
      </c>
    </row>
    <row r="136" spans="1:7" x14ac:dyDescent="0.25">
      <c r="A136" s="91" t="s">
        <v>120</v>
      </c>
      <c r="B136" s="89">
        <v>2021</v>
      </c>
      <c r="C136" s="96">
        <f t="shared" si="64"/>
        <v>361546.35240739811</v>
      </c>
      <c r="D136" s="96">
        <f t="shared" si="61"/>
        <v>851.27743323848927</v>
      </c>
      <c r="E136" s="96">
        <f t="shared" si="65"/>
        <v>1506.4431350308255</v>
      </c>
      <c r="F136" s="96">
        <f t="shared" si="66"/>
        <v>2357.7205682693148</v>
      </c>
      <c r="G136" s="96">
        <f t="shared" si="63"/>
        <v>360695.07497415959</v>
      </c>
    </row>
    <row r="137" spans="1:7" x14ac:dyDescent="0.25">
      <c r="A137" s="91" t="s">
        <v>121</v>
      </c>
      <c r="B137" s="89">
        <v>2021</v>
      </c>
      <c r="C137" s="96">
        <f t="shared" si="64"/>
        <v>360695.07497415959</v>
      </c>
      <c r="D137" s="96">
        <f t="shared" si="61"/>
        <v>854.82442254364969</v>
      </c>
      <c r="E137" s="96">
        <f t="shared" si="65"/>
        <v>1502.8961457256651</v>
      </c>
      <c r="F137" s="96">
        <f t="shared" si="66"/>
        <v>2357.7205682693148</v>
      </c>
      <c r="G137" s="96">
        <f t="shared" si="63"/>
        <v>359840.25055161596</v>
      </c>
    </row>
    <row r="138" spans="1:7" x14ac:dyDescent="0.25">
      <c r="A138" s="91" t="s">
        <v>122</v>
      </c>
      <c r="B138" s="89">
        <v>2021</v>
      </c>
      <c r="C138" s="96">
        <f t="shared" si="64"/>
        <v>359840.25055161596</v>
      </c>
      <c r="D138" s="96">
        <f t="shared" si="61"/>
        <v>858.38619097091487</v>
      </c>
      <c r="E138" s="96">
        <f t="shared" si="65"/>
        <v>1499.3343772983999</v>
      </c>
      <c r="F138" s="96">
        <f t="shared" si="66"/>
        <v>2357.7205682693148</v>
      </c>
      <c r="G138" s="96">
        <f t="shared" si="63"/>
        <v>358981.86436064506</v>
      </c>
    </row>
    <row r="139" spans="1:7" x14ac:dyDescent="0.25">
      <c r="A139" s="91" t="s">
        <v>123</v>
      </c>
      <c r="B139" s="89">
        <v>2021</v>
      </c>
      <c r="C139" s="96">
        <f t="shared" si="64"/>
        <v>358981.86436064506</v>
      </c>
      <c r="D139" s="96">
        <f t="shared" si="61"/>
        <v>861.9628000999603</v>
      </c>
      <c r="E139" s="96">
        <f t="shared" si="65"/>
        <v>1495.7577681693544</v>
      </c>
      <c r="F139" s="96">
        <f t="shared" si="66"/>
        <v>2357.7205682693148</v>
      </c>
      <c r="G139" s="96">
        <f t="shared" si="63"/>
        <v>358119.90156054508</v>
      </c>
    </row>
    <row r="140" spans="1:7" x14ac:dyDescent="0.25">
      <c r="A140" s="91" t="s">
        <v>124</v>
      </c>
      <c r="B140" s="89">
        <v>2021</v>
      </c>
      <c r="C140" s="96">
        <f t="shared" si="64"/>
        <v>358119.90156054508</v>
      </c>
      <c r="D140" s="96">
        <f t="shared" si="61"/>
        <v>865.5543117670436</v>
      </c>
      <c r="E140" s="96">
        <f t="shared" si="65"/>
        <v>1492.1662565022712</v>
      </c>
      <c r="F140" s="96">
        <f t="shared" si="66"/>
        <v>2357.7205682693148</v>
      </c>
      <c r="G140" s="97">
        <f t="shared" si="63"/>
        <v>357254.34724877804</v>
      </c>
    </row>
    <row r="141" spans="1:7" x14ac:dyDescent="0.25">
      <c r="B141" s="89"/>
      <c r="C141" s="98"/>
      <c r="D141" s="97">
        <f t="shared" ref="D141:E141" si="67">SUM(D129:D140)</f>
        <v>10152.860122830582</v>
      </c>
      <c r="E141" s="97">
        <f t="shared" si="67"/>
        <v>18139.786696401196</v>
      </c>
    </row>
    <row r="142" spans="1:7" x14ac:dyDescent="0.25">
      <c r="B142" s="89"/>
    </row>
    <row r="143" spans="1:7" x14ac:dyDescent="0.25">
      <c r="A143" s="91" t="s">
        <v>113</v>
      </c>
      <c r="B143" s="89">
        <v>2022</v>
      </c>
      <c r="C143" s="96">
        <f t="shared" ref="C143" si="68">+G140</f>
        <v>357254.34724877804</v>
      </c>
      <c r="D143" s="96">
        <f t="shared" ref="D143:D154" si="69">+F143-E143</f>
        <v>869.16078806607288</v>
      </c>
      <c r="E143" s="96">
        <f>+C143*$J$5</f>
        <v>1488.5597802032419</v>
      </c>
      <c r="F143" s="96">
        <f t="shared" ref="F143" si="70">+F140</f>
        <v>2357.7205682693148</v>
      </c>
      <c r="G143" s="96">
        <f t="shared" ref="G143:G154" si="71">+C143-D143</f>
        <v>356385.18646071199</v>
      </c>
    </row>
    <row r="144" spans="1:7" x14ac:dyDescent="0.25">
      <c r="A144" s="91" t="s">
        <v>114</v>
      </c>
      <c r="B144" s="89">
        <v>2022</v>
      </c>
      <c r="C144" s="96">
        <f t="shared" ref="C144:C154" si="72">+G143</f>
        <v>356385.18646071199</v>
      </c>
      <c r="D144" s="96">
        <f t="shared" si="69"/>
        <v>872.78229134968137</v>
      </c>
      <c r="E144" s="96">
        <f t="shared" ref="E144:E154" si="73">+C144*$J$5</f>
        <v>1484.9382769196334</v>
      </c>
      <c r="F144" s="96">
        <f t="shared" ref="F144:F154" si="74">+F143</f>
        <v>2357.7205682693148</v>
      </c>
      <c r="G144" s="96">
        <f t="shared" si="71"/>
        <v>355512.40416936233</v>
      </c>
    </row>
    <row r="145" spans="1:7" x14ac:dyDescent="0.25">
      <c r="A145" s="91" t="s">
        <v>115</v>
      </c>
      <c r="B145" s="89">
        <v>2022</v>
      </c>
      <c r="C145" s="96">
        <f t="shared" si="72"/>
        <v>355512.40416936233</v>
      </c>
      <c r="D145" s="96">
        <f t="shared" si="69"/>
        <v>876.41888423030514</v>
      </c>
      <c r="E145" s="96">
        <f t="shared" si="73"/>
        <v>1481.3016840390096</v>
      </c>
      <c r="F145" s="96">
        <f t="shared" si="74"/>
        <v>2357.7205682693148</v>
      </c>
      <c r="G145" s="96">
        <f t="shared" si="71"/>
        <v>354635.98528513202</v>
      </c>
    </row>
    <row r="146" spans="1:7" x14ac:dyDescent="0.25">
      <c r="A146" s="91" t="s">
        <v>116</v>
      </c>
      <c r="B146" s="89">
        <v>2022</v>
      </c>
      <c r="C146" s="96">
        <f t="shared" si="72"/>
        <v>354635.98528513202</v>
      </c>
      <c r="D146" s="96">
        <f t="shared" si="69"/>
        <v>880.07062958126471</v>
      </c>
      <c r="E146" s="96">
        <f t="shared" si="73"/>
        <v>1477.64993868805</v>
      </c>
      <c r="F146" s="96">
        <f t="shared" si="74"/>
        <v>2357.7205682693148</v>
      </c>
      <c r="G146" s="96">
        <f t="shared" si="71"/>
        <v>353755.91465555073</v>
      </c>
    </row>
    <row r="147" spans="1:7" x14ac:dyDescent="0.25">
      <c r="A147" s="91" t="s">
        <v>117</v>
      </c>
      <c r="B147" s="89">
        <v>2022</v>
      </c>
      <c r="C147" s="96">
        <f t="shared" si="72"/>
        <v>353755.91465555073</v>
      </c>
      <c r="D147" s="96">
        <f t="shared" si="69"/>
        <v>883.73759053785329</v>
      </c>
      <c r="E147" s="96">
        <f t="shared" si="73"/>
        <v>1473.9829777314615</v>
      </c>
      <c r="F147" s="96">
        <f t="shared" si="74"/>
        <v>2357.7205682693148</v>
      </c>
      <c r="G147" s="96">
        <f t="shared" si="71"/>
        <v>352872.17706501286</v>
      </c>
    </row>
    <row r="148" spans="1:7" x14ac:dyDescent="0.25">
      <c r="A148" s="91" t="s">
        <v>118</v>
      </c>
      <c r="B148" s="89">
        <v>2022</v>
      </c>
      <c r="C148" s="96">
        <f t="shared" si="72"/>
        <v>352872.17706501286</v>
      </c>
      <c r="D148" s="96">
        <f t="shared" si="69"/>
        <v>887.41983049842793</v>
      </c>
      <c r="E148" s="96">
        <f t="shared" si="73"/>
        <v>1470.3007377708868</v>
      </c>
      <c r="F148" s="96">
        <f t="shared" si="74"/>
        <v>2357.7205682693148</v>
      </c>
      <c r="G148" s="96">
        <f t="shared" si="71"/>
        <v>351984.75723451446</v>
      </c>
    </row>
    <row r="149" spans="1:7" x14ac:dyDescent="0.25">
      <c r="A149" s="91" t="s">
        <v>119</v>
      </c>
      <c r="B149" s="89">
        <v>2022</v>
      </c>
      <c r="C149" s="96">
        <f t="shared" si="72"/>
        <v>351984.75723451446</v>
      </c>
      <c r="D149" s="96">
        <f t="shared" si="69"/>
        <v>891.11741312550453</v>
      </c>
      <c r="E149" s="96">
        <f t="shared" si="73"/>
        <v>1466.6031551438102</v>
      </c>
      <c r="F149" s="96">
        <f t="shared" si="74"/>
        <v>2357.7205682693148</v>
      </c>
      <c r="G149" s="96">
        <f t="shared" si="71"/>
        <v>351093.63982138893</v>
      </c>
    </row>
    <row r="150" spans="1:7" x14ac:dyDescent="0.25">
      <c r="A150" s="91" t="s">
        <v>120</v>
      </c>
      <c r="B150" s="89">
        <v>2022</v>
      </c>
      <c r="C150" s="96">
        <f t="shared" si="72"/>
        <v>351093.63982138893</v>
      </c>
      <c r="D150" s="96">
        <f t="shared" si="69"/>
        <v>894.83040234686086</v>
      </c>
      <c r="E150" s="96">
        <f t="shared" si="73"/>
        <v>1462.8901659224539</v>
      </c>
      <c r="F150" s="96">
        <f t="shared" si="74"/>
        <v>2357.7205682693148</v>
      </c>
      <c r="G150" s="96">
        <f t="shared" si="71"/>
        <v>350198.80941904208</v>
      </c>
    </row>
    <row r="151" spans="1:7" x14ac:dyDescent="0.25">
      <c r="A151" s="91" t="s">
        <v>121</v>
      </c>
      <c r="B151" s="89">
        <v>2022</v>
      </c>
      <c r="C151" s="96">
        <f t="shared" si="72"/>
        <v>350198.80941904208</v>
      </c>
      <c r="D151" s="96">
        <f t="shared" si="69"/>
        <v>898.55886235663934</v>
      </c>
      <c r="E151" s="96">
        <f t="shared" si="73"/>
        <v>1459.1617059126754</v>
      </c>
      <c r="F151" s="96">
        <f t="shared" si="74"/>
        <v>2357.7205682693148</v>
      </c>
      <c r="G151" s="96">
        <f t="shared" si="71"/>
        <v>349300.25055668544</v>
      </c>
    </row>
    <row r="152" spans="1:7" x14ac:dyDescent="0.25">
      <c r="A152" s="91" t="s">
        <v>122</v>
      </c>
      <c r="B152" s="89">
        <v>2022</v>
      </c>
      <c r="C152" s="96">
        <f t="shared" si="72"/>
        <v>349300.25055668544</v>
      </c>
      <c r="D152" s="96">
        <f t="shared" si="69"/>
        <v>902.30285761645882</v>
      </c>
      <c r="E152" s="96">
        <f t="shared" si="73"/>
        <v>1455.4177106528559</v>
      </c>
      <c r="F152" s="96">
        <f t="shared" si="74"/>
        <v>2357.7205682693148</v>
      </c>
      <c r="G152" s="96">
        <f t="shared" si="71"/>
        <v>348397.94769906899</v>
      </c>
    </row>
    <row r="153" spans="1:7" x14ac:dyDescent="0.25">
      <c r="A153" s="91" t="s">
        <v>123</v>
      </c>
      <c r="B153" s="89">
        <v>2022</v>
      </c>
      <c r="C153" s="96">
        <f t="shared" si="72"/>
        <v>348397.94769906899</v>
      </c>
      <c r="D153" s="96">
        <f t="shared" si="69"/>
        <v>906.06245285652722</v>
      </c>
      <c r="E153" s="96">
        <f t="shared" si="73"/>
        <v>1451.6581154127875</v>
      </c>
      <c r="F153" s="96">
        <f t="shared" si="74"/>
        <v>2357.7205682693148</v>
      </c>
      <c r="G153" s="96">
        <f t="shared" si="71"/>
        <v>347491.88524621248</v>
      </c>
    </row>
    <row r="154" spans="1:7" x14ac:dyDescent="0.25">
      <c r="A154" s="91" t="s">
        <v>124</v>
      </c>
      <c r="B154" s="89">
        <v>2022</v>
      </c>
      <c r="C154" s="96">
        <f t="shared" si="72"/>
        <v>347491.88524621248</v>
      </c>
      <c r="D154" s="96">
        <f t="shared" si="69"/>
        <v>909.83771307676284</v>
      </c>
      <c r="E154" s="96">
        <f t="shared" si="73"/>
        <v>1447.8828551925519</v>
      </c>
      <c r="F154" s="96">
        <f t="shared" si="74"/>
        <v>2357.7205682693148</v>
      </c>
      <c r="G154" s="97">
        <f t="shared" si="71"/>
        <v>346582.04753313569</v>
      </c>
    </row>
    <row r="155" spans="1:7" x14ac:dyDescent="0.25">
      <c r="B155" s="89"/>
      <c r="C155" s="97"/>
      <c r="D155" s="97">
        <f t="shared" ref="D155:E155" si="75">SUM(D143:D154)</f>
        <v>10672.299715642359</v>
      </c>
      <c r="E155" s="97">
        <f t="shared" si="75"/>
        <v>17620.347103589418</v>
      </c>
      <c r="F155" s="96"/>
      <c r="G155" s="96"/>
    </row>
    <row r="156" spans="1:7" x14ac:dyDescent="0.25">
      <c r="B156" s="89"/>
      <c r="C156" s="96"/>
      <c r="D156" s="96"/>
      <c r="E156" s="96"/>
      <c r="F156" s="96"/>
      <c r="G156" s="96"/>
    </row>
    <row r="157" spans="1:7" x14ac:dyDescent="0.25">
      <c r="A157" s="91" t="s">
        <v>113</v>
      </c>
      <c r="B157" s="89">
        <v>2023</v>
      </c>
      <c r="C157" s="96">
        <f t="shared" ref="C157" si="76">+G154</f>
        <v>346582.04753313569</v>
      </c>
      <c r="D157" s="96">
        <f t="shared" ref="D157:D168" si="77">+F157-E157</f>
        <v>913.62870354791607</v>
      </c>
      <c r="E157" s="96">
        <f>+C157*$J$5</f>
        <v>1444.0918647213987</v>
      </c>
      <c r="F157" s="96">
        <f t="shared" ref="F157" si="78">+F154</f>
        <v>2357.7205682693148</v>
      </c>
      <c r="G157" s="96">
        <f t="shared" ref="G157:G168" si="79">+C157-D157</f>
        <v>345668.41882958775</v>
      </c>
    </row>
    <row r="158" spans="1:7" x14ac:dyDescent="0.25">
      <c r="A158" s="91" t="s">
        <v>114</v>
      </c>
      <c r="B158" s="89">
        <v>2023</v>
      </c>
      <c r="C158" s="96">
        <f t="shared" ref="C158:C168" si="80">+G157</f>
        <v>345668.41882958775</v>
      </c>
      <c r="D158" s="96">
        <f t="shared" si="77"/>
        <v>917.43548981269919</v>
      </c>
      <c r="E158" s="96">
        <f t="shared" ref="E158:E168" si="81">+C158*$J$5</f>
        <v>1440.2850784566156</v>
      </c>
      <c r="F158" s="96">
        <f t="shared" ref="F158:F168" si="82">+F157</f>
        <v>2357.7205682693148</v>
      </c>
      <c r="G158" s="96">
        <f t="shared" si="79"/>
        <v>344750.98333977506</v>
      </c>
    </row>
    <row r="159" spans="1:7" x14ac:dyDescent="0.25">
      <c r="A159" s="91" t="s">
        <v>115</v>
      </c>
      <c r="B159" s="89">
        <v>2023</v>
      </c>
      <c r="C159" s="96">
        <f t="shared" si="80"/>
        <v>344750.98333977506</v>
      </c>
      <c r="D159" s="96">
        <f t="shared" si="77"/>
        <v>921.25813768691864</v>
      </c>
      <c r="E159" s="96">
        <f t="shared" si="81"/>
        <v>1436.4624305823961</v>
      </c>
      <c r="F159" s="96">
        <f t="shared" si="82"/>
        <v>2357.7205682693148</v>
      </c>
      <c r="G159" s="96">
        <f t="shared" si="79"/>
        <v>343829.72520208813</v>
      </c>
    </row>
    <row r="160" spans="1:7" x14ac:dyDescent="0.25">
      <c r="A160" s="91" t="s">
        <v>116</v>
      </c>
      <c r="B160" s="89">
        <v>2023</v>
      </c>
      <c r="C160" s="96">
        <f t="shared" si="80"/>
        <v>343829.72520208813</v>
      </c>
      <c r="D160" s="96">
        <f t="shared" si="77"/>
        <v>925.09671326061425</v>
      </c>
      <c r="E160" s="96">
        <f t="shared" si="81"/>
        <v>1432.6238550087005</v>
      </c>
      <c r="F160" s="96">
        <f t="shared" si="82"/>
        <v>2357.7205682693148</v>
      </c>
      <c r="G160" s="96">
        <f t="shared" si="79"/>
        <v>342904.6284888275</v>
      </c>
    </row>
    <row r="161" spans="1:7" x14ac:dyDescent="0.25">
      <c r="A161" s="91" t="s">
        <v>117</v>
      </c>
      <c r="B161" s="89">
        <v>2023</v>
      </c>
      <c r="C161" s="96">
        <f t="shared" si="80"/>
        <v>342904.6284888275</v>
      </c>
      <c r="D161" s="96">
        <f t="shared" si="77"/>
        <v>928.95128289920012</v>
      </c>
      <c r="E161" s="96">
        <f t="shared" si="81"/>
        <v>1428.7692853701146</v>
      </c>
      <c r="F161" s="96">
        <f t="shared" si="82"/>
        <v>2357.7205682693148</v>
      </c>
      <c r="G161" s="96">
        <f t="shared" si="79"/>
        <v>341975.67720592831</v>
      </c>
    </row>
    <row r="162" spans="1:7" x14ac:dyDescent="0.25">
      <c r="A162" s="91" t="s">
        <v>118</v>
      </c>
      <c r="B162" s="89">
        <v>2023</v>
      </c>
      <c r="C162" s="96">
        <f t="shared" si="80"/>
        <v>341975.67720592831</v>
      </c>
      <c r="D162" s="96">
        <f t="shared" si="77"/>
        <v>932.82191324461337</v>
      </c>
      <c r="E162" s="96">
        <f t="shared" si="81"/>
        <v>1424.8986550247014</v>
      </c>
      <c r="F162" s="96">
        <f t="shared" si="82"/>
        <v>2357.7205682693148</v>
      </c>
      <c r="G162" s="96">
        <f t="shared" si="79"/>
        <v>341042.8552926837</v>
      </c>
    </row>
    <row r="163" spans="1:7" x14ac:dyDescent="0.25">
      <c r="A163" s="91" t="s">
        <v>119</v>
      </c>
      <c r="B163" s="89">
        <v>2023</v>
      </c>
      <c r="C163" s="96">
        <f t="shared" si="80"/>
        <v>341042.8552926837</v>
      </c>
      <c r="D163" s="96">
        <f t="shared" si="77"/>
        <v>936.70867121646597</v>
      </c>
      <c r="E163" s="96">
        <f t="shared" si="81"/>
        <v>1421.0118970528488</v>
      </c>
      <c r="F163" s="96">
        <f t="shared" si="82"/>
        <v>2357.7205682693148</v>
      </c>
      <c r="G163" s="96">
        <f t="shared" si="79"/>
        <v>340106.14662146725</v>
      </c>
    </row>
    <row r="164" spans="1:7" x14ac:dyDescent="0.25">
      <c r="A164" s="91" t="s">
        <v>120</v>
      </c>
      <c r="B164" s="89">
        <v>2023</v>
      </c>
      <c r="C164" s="96">
        <f t="shared" si="80"/>
        <v>340106.14662146725</v>
      </c>
      <c r="D164" s="96">
        <f t="shared" si="77"/>
        <v>940.61162401320121</v>
      </c>
      <c r="E164" s="96">
        <f t="shared" si="81"/>
        <v>1417.1089442561135</v>
      </c>
      <c r="F164" s="96">
        <f t="shared" si="82"/>
        <v>2357.7205682693148</v>
      </c>
      <c r="G164" s="96">
        <f t="shared" si="79"/>
        <v>339165.53499745403</v>
      </c>
    </row>
    <row r="165" spans="1:7" x14ac:dyDescent="0.25">
      <c r="A165" s="91" t="s">
        <v>121</v>
      </c>
      <c r="B165" s="89">
        <v>2023</v>
      </c>
      <c r="C165" s="96">
        <f t="shared" si="80"/>
        <v>339165.53499745403</v>
      </c>
      <c r="D165" s="96">
        <f t="shared" si="77"/>
        <v>944.53083911325621</v>
      </c>
      <c r="E165" s="96">
        <f t="shared" si="81"/>
        <v>1413.1897291560585</v>
      </c>
      <c r="F165" s="96">
        <f t="shared" si="82"/>
        <v>2357.7205682693148</v>
      </c>
      <c r="G165" s="96">
        <f t="shared" si="79"/>
        <v>338221.0041583408</v>
      </c>
    </row>
    <row r="166" spans="1:7" x14ac:dyDescent="0.25">
      <c r="A166" s="91" t="s">
        <v>122</v>
      </c>
      <c r="B166" s="89">
        <v>2023</v>
      </c>
      <c r="C166" s="96">
        <f t="shared" si="80"/>
        <v>338221.0041583408</v>
      </c>
      <c r="D166" s="96">
        <f t="shared" si="77"/>
        <v>948.46638427622815</v>
      </c>
      <c r="E166" s="96">
        <f t="shared" si="81"/>
        <v>1409.2541839930866</v>
      </c>
      <c r="F166" s="96">
        <f t="shared" si="82"/>
        <v>2357.7205682693148</v>
      </c>
      <c r="G166" s="96">
        <f t="shared" si="79"/>
        <v>337272.53777406458</v>
      </c>
    </row>
    <row r="167" spans="1:7" x14ac:dyDescent="0.25">
      <c r="A167" s="91" t="s">
        <v>123</v>
      </c>
      <c r="B167" s="89">
        <v>2023</v>
      </c>
      <c r="C167" s="96">
        <f t="shared" si="80"/>
        <v>337272.53777406458</v>
      </c>
      <c r="D167" s="96">
        <f t="shared" si="77"/>
        <v>952.41832754404572</v>
      </c>
      <c r="E167" s="96">
        <f t="shared" si="81"/>
        <v>1405.302240725269</v>
      </c>
      <c r="F167" s="96">
        <f t="shared" si="82"/>
        <v>2357.7205682693148</v>
      </c>
      <c r="G167" s="96">
        <f t="shared" si="79"/>
        <v>336320.11944652052</v>
      </c>
    </row>
    <row r="168" spans="1:7" x14ac:dyDescent="0.25">
      <c r="A168" s="91" t="s">
        <v>124</v>
      </c>
      <c r="B168" s="89">
        <v>2023</v>
      </c>
      <c r="C168" s="96">
        <f t="shared" si="80"/>
        <v>336320.11944652052</v>
      </c>
      <c r="D168" s="96">
        <f t="shared" si="77"/>
        <v>956.38673724214595</v>
      </c>
      <c r="E168" s="96">
        <f t="shared" si="81"/>
        <v>1401.3338310271688</v>
      </c>
      <c r="F168" s="96">
        <f t="shared" si="82"/>
        <v>2357.7205682693148</v>
      </c>
      <c r="G168" s="97">
        <f t="shared" si="79"/>
        <v>335363.73270927835</v>
      </c>
    </row>
    <row r="169" spans="1:7" x14ac:dyDescent="0.25">
      <c r="B169" s="89"/>
      <c r="C169" s="98"/>
      <c r="D169" s="97">
        <f t="shared" ref="D169:E169" si="83">SUM(D157:D168)</f>
        <v>11218.314823857307</v>
      </c>
      <c r="E169" s="97">
        <f t="shared" si="83"/>
        <v>17074.331995374472</v>
      </c>
    </row>
    <row r="170" spans="1:7" x14ac:dyDescent="0.25">
      <c r="B170" s="89"/>
    </row>
    <row r="171" spans="1:7" x14ac:dyDescent="0.25">
      <c r="A171" s="91" t="s">
        <v>113</v>
      </c>
      <c r="B171" s="89">
        <v>2024</v>
      </c>
      <c r="C171" s="96">
        <f t="shared" ref="C171" si="84">+G168</f>
        <v>335363.73270927835</v>
      </c>
      <c r="D171" s="96">
        <f t="shared" ref="D171:D182" si="85">+F171-E171</f>
        <v>960.37168198065501</v>
      </c>
      <c r="E171" s="96">
        <f>+C171*$J$5</f>
        <v>1397.3488862886597</v>
      </c>
      <c r="F171" s="96">
        <f t="shared" ref="F171" si="86">+F168</f>
        <v>2357.7205682693148</v>
      </c>
      <c r="G171" s="96">
        <f t="shared" ref="G171:G182" si="87">+C171-D171</f>
        <v>334403.36102729768</v>
      </c>
    </row>
    <row r="172" spans="1:7" x14ac:dyDescent="0.25">
      <c r="A172" s="91" t="s">
        <v>114</v>
      </c>
      <c r="B172" s="89">
        <v>2024</v>
      </c>
      <c r="C172" s="96">
        <f t="shared" ref="C172:C182" si="88">+G171</f>
        <v>334403.36102729768</v>
      </c>
      <c r="D172" s="96">
        <f t="shared" si="85"/>
        <v>964.37323065557439</v>
      </c>
      <c r="E172" s="96">
        <f t="shared" ref="E172:E182" si="89">+C172*$J$5</f>
        <v>1393.3473376137404</v>
      </c>
      <c r="F172" s="96">
        <f t="shared" ref="F172:F182" si="90">+F171</f>
        <v>2357.7205682693148</v>
      </c>
      <c r="G172" s="96">
        <f t="shared" si="87"/>
        <v>333438.98779664212</v>
      </c>
    </row>
    <row r="173" spans="1:7" x14ac:dyDescent="0.25">
      <c r="A173" s="91" t="s">
        <v>115</v>
      </c>
      <c r="B173" s="89">
        <v>2024</v>
      </c>
      <c r="C173" s="96">
        <f t="shared" si="88"/>
        <v>333438.98779664212</v>
      </c>
      <c r="D173" s="96">
        <f t="shared" si="85"/>
        <v>968.39145244997258</v>
      </c>
      <c r="E173" s="96">
        <f t="shared" si="89"/>
        <v>1389.3291158193422</v>
      </c>
      <c r="F173" s="96">
        <f t="shared" si="90"/>
        <v>2357.7205682693148</v>
      </c>
      <c r="G173" s="96">
        <f t="shared" si="87"/>
        <v>332470.59634419216</v>
      </c>
    </row>
    <row r="174" spans="1:7" x14ac:dyDescent="0.25">
      <c r="A174" s="91" t="s">
        <v>116</v>
      </c>
      <c r="B174" s="89">
        <v>2024</v>
      </c>
      <c r="C174" s="96">
        <f t="shared" si="88"/>
        <v>332470.59634419216</v>
      </c>
      <c r="D174" s="96">
        <f t="shared" si="85"/>
        <v>972.42641683518082</v>
      </c>
      <c r="E174" s="96">
        <f t="shared" si="89"/>
        <v>1385.2941514341339</v>
      </c>
      <c r="F174" s="96">
        <f t="shared" si="90"/>
        <v>2357.7205682693148</v>
      </c>
      <c r="G174" s="96">
        <f t="shared" si="87"/>
        <v>331498.169927357</v>
      </c>
    </row>
    <row r="175" spans="1:7" x14ac:dyDescent="0.25">
      <c r="A175" s="91" t="s">
        <v>117</v>
      </c>
      <c r="B175" s="89">
        <v>2024</v>
      </c>
      <c r="C175" s="96">
        <f t="shared" si="88"/>
        <v>331498.169927357</v>
      </c>
      <c r="D175" s="96">
        <f t="shared" si="85"/>
        <v>976.47819357199387</v>
      </c>
      <c r="E175" s="96">
        <f t="shared" si="89"/>
        <v>1381.2423746973209</v>
      </c>
      <c r="F175" s="96">
        <f t="shared" si="90"/>
        <v>2357.7205682693148</v>
      </c>
      <c r="G175" s="96">
        <f t="shared" si="87"/>
        <v>330521.69173378503</v>
      </c>
    </row>
    <row r="176" spans="1:7" x14ac:dyDescent="0.25">
      <c r="A176" s="91" t="s">
        <v>118</v>
      </c>
      <c r="B176" s="89">
        <v>2024</v>
      </c>
      <c r="C176" s="96">
        <f t="shared" si="88"/>
        <v>330521.69173378503</v>
      </c>
      <c r="D176" s="96">
        <f t="shared" si="85"/>
        <v>980.54685271187714</v>
      </c>
      <c r="E176" s="96">
        <f t="shared" si="89"/>
        <v>1377.1737155574376</v>
      </c>
      <c r="F176" s="96">
        <f t="shared" si="90"/>
        <v>2357.7205682693148</v>
      </c>
      <c r="G176" s="96">
        <f t="shared" si="87"/>
        <v>329541.14488107315</v>
      </c>
    </row>
    <row r="177" spans="1:7" x14ac:dyDescent="0.25">
      <c r="A177" s="91" t="s">
        <v>119</v>
      </c>
      <c r="B177" s="89">
        <v>2024</v>
      </c>
      <c r="C177" s="96">
        <f t="shared" si="88"/>
        <v>329541.14488107315</v>
      </c>
      <c r="D177" s="96">
        <f t="shared" si="85"/>
        <v>984.63246459817674</v>
      </c>
      <c r="E177" s="96">
        <f t="shared" si="89"/>
        <v>1373.088103671138</v>
      </c>
      <c r="F177" s="96">
        <f t="shared" si="90"/>
        <v>2357.7205682693148</v>
      </c>
      <c r="G177" s="96">
        <f t="shared" si="87"/>
        <v>328556.51241647499</v>
      </c>
    </row>
    <row r="178" spans="1:7" x14ac:dyDescent="0.25">
      <c r="A178" s="91" t="s">
        <v>120</v>
      </c>
      <c r="B178" s="89">
        <v>2024</v>
      </c>
      <c r="C178" s="96">
        <f t="shared" si="88"/>
        <v>328556.51241647499</v>
      </c>
      <c r="D178" s="96">
        <f t="shared" si="85"/>
        <v>988.73509986733575</v>
      </c>
      <c r="E178" s="96">
        <f t="shared" si="89"/>
        <v>1368.985468401979</v>
      </c>
      <c r="F178" s="96">
        <f t="shared" si="90"/>
        <v>2357.7205682693148</v>
      </c>
      <c r="G178" s="96">
        <f t="shared" si="87"/>
        <v>327567.77731660765</v>
      </c>
    </row>
    <row r="179" spans="1:7" x14ac:dyDescent="0.25">
      <c r="A179" s="91" t="s">
        <v>121</v>
      </c>
      <c r="B179" s="89">
        <v>2024</v>
      </c>
      <c r="C179" s="96">
        <f t="shared" si="88"/>
        <v>327567.77731660765</v>
      </c>
      <c r="D179" s="96">
        <f t="shared" si="85"/>
        <v>992.85482945011631</v>
      </c>
      <c r="E179" s="96">
        <f t="shared" si="89"/>
        <v>1364.8657388191984</v>
      </c>
      <c r="F179" s="96">
        <f t="shared" si="90"/>
        <v>2357.7205682693148</v>
      </c>
      <c r="G179" s="96">
        <f t="shared" si="87"/>
        <v>326574.92248715751</v>
      </c>
    </row>
    <row r="180" spans="1:7" x14ac:dyDescent="0.25">
      <c r="A180" s="91" t="s">
        <v>122</v>
      </c>
      <c r="B180" s="89">
        <v>2024</v>
      </c>
      <c r="C180" s="96">
        <f t="shared" si="88"/>
        <v>326574.92248715751</v>
      </c>
      <c r="D180" s="96">
        <f t="shared" si="85"/>
        <v>996.99172457282521</v>
      </c>
      <c r="E180" s="96">
        <f t="shared" si="89"/>
        <v>1360.7288436964895</v>
      </c>
      <c r="F180" s="96">
        <f t="shared" si="90"/>
        <v>2357.7205682693148</v>
      </c>
      <c r="G180" s="96">
        <f t="shared" si="87"/>
        <v>325577.93076258467</v>
      </c>
    </row>
    <row r="181" spans="1:7" x14ac:dyDescent="0.25">
      <c r="A181" s="91" t="s">
        <v>123</v>
      </c>
      <c r="B181" s="89">
        <v>2024</v>
      </c>
      <c r="C181" s="96">
        <f t="shared" si="88"/>
        <v>325577.93076258467</v>
      </c>
      <c r="D181" s="96">
        <f t="shared" si="85"/>
        <v>1001.1458567585453</v>
      </c>
      <c r="E181" s="96">
        <f t="shared" si="89"/>
        <v>1356.5747115107695</v>
      </c>
      <c r="F181" s="96">
        <f t="shared" si="90"/>
        <v>2357.7205682693148</v>
      </c>
      <c r="G181" s="96">
        <f t="shared" si="87"/>
        <v>324576.78490582615</v>
      </c>
    </row>
    <row r="182" spans="1:7" x14ac:dyDescent="0.25">
      <c r="A182" s="91" t="s">
        <v>124</v>
      </c>
      <c r="B182" s="89">
        <v>2024</v>
      </c>
      <c r="C182" s="96">
        <f t="shared" si="88"/>
        <v>324576.78490582615</v>
      </c>
      <c r="D182" s="96">
        <f t="shared" si="85"/>
        <v>1005.3172978283724</v>
      </c>
      <c r="E182" s="96">
        <f t="shared" si="89"/>
        <v>1352.4032704409424</v>
      </c>
      <c r="F182" s="96">
        <f t="shared" si="90"/>
        <v>2357.7205682693148</v>
      </c>
      <c r="G182" s="97">
        <f t="shared" si="87"/>
        <v>323571.46760799777</v>
      </c>
    </row>
    <row r="183" spans="1:7" x14ac:dyDescent="0.25">
      <c r="B183" s="89"/>
      <c r="C183" s="97"/>
      <c r="D183" s="97">
        <f t="shared" ref="D183:E183" si="91">SUM(D171:D182)</f>
        <v>11792.265101280625</v>
      </c>
      <c r="E183" s="97">
        <f t="shared" si="91"/>
        <v>16500.381717951153</v>
      </c>
      <c r="F183" s="96"/>
      <c r="G183" s="96"/>
    </row>
    <row r="184" spans="1:7" x14ac:dyDescent="0.25">
      <c r="B184" s="89"/>
      <c r="C184" s="96"/>
      <c r="D184" s="96"/>
      <c r="E184" s="96"/>
      <c r="F184" s="96"/>
      <c r="G184" s="96"/>
    </row>
    <row r="185" spans="1:7" x14ac:dyDescent="0.25">
      <c r="A185" s="91" t="s">
        <v>113</v>
      </c>
      <c r="B185" s="89">
        <v>2025</v>
      </c>
      <c r="C185" s="96">
        <f t="shared" ref="C185" si="92">+G182</f>
        <v>323571.46760799777</v>
      </c>
      <c r="D185" s="96">
        <f t="shared" ref="D185:D196" si="93">+F185-E185</f>
        <v>1009.5061199026575</v>
      </c>
      <c r="E185" s="96">
        <f>+C185*$J$5</f>
        <v>1348.2144483666573</v>
      </c>
      <c r="F185" s="96">
        <f t="shared" ref="F185" si="94">+F182</f>
        <v>2357.7205682693148</v>
      </c>
      <c r="G185" s="96">
        <f t="shared" ref="G185:G196" si="95">+C185-D185</f>
        <v>322561.96148809511</v>
      </c>
    </row>
    <row r="186" spans="1:7" x14ac:dyDescent="0.25">
      <c r="A186" s="91" t="s">
        <v>114</v>
      </c>
      <c r="B186" s="89">
        <v>2025</v>
      </c>
      <c r="C186" s="96">
        <f t="shared" ref="C186:C196" si="96">+G185</f>
        <v>322561.96148809511</v>
      </c>
      <c r="D186" s="96">
        <f t="shared" si="93"/>
        <v>1013.7123954022518</v>
      </c>
      <c r="E186" s="96">
        <f t="shared" ref="E186:E196" si="97">+C186*$J$5</f>
        <v>1344.008172867063</v>
      </c>
      <c r="F186" s="96">
        <f t="shared" ref="F186:F196" si="98">+F185</f>
        <v>2357.7205682693148</v>
      </c>
      <c r="G186" s="96">
        <f t="shared" si="95"/>
        <v>321548.24909269286</v>
      </c>
    </row>
    <row r="187" spans="1:7" x14ac:dyDescent="0.25">
      <c r="A187" s="91" t="s">
        <v>115</v>
      </c>
      <c r="B187" s="89">
        <v>2025</v>
      </c>
      <c r="C187" s="96">
        <f t="shared" si="96"/>
        <v>321548.24909269286</v>
      </c>
      <c r="D187" s="96">
        <f t="shared" si="93"/>
        <v>1017.9361970497612</v>
      </c>
      <c r="E187" s="96">
        <f t="shared" si="97"/>
        <v>1339.7843712195536</v>
      </c>
      <c r="F187" s="96">
        <f t="shared" si="98"/>
        <v>2357.7205682693148</v>
      </c>
      <c r="G187" s="96">
        <f t="shared" si="95"/>
        <v>320530.31289564312</v>
      </c>
    </row>
    <row r="188" spans="1:7" x14ac:dyDescent="0.25">
      <c r="A188" s="91" t="s">
        <v>116</v>
      </c>
      <c r="B188" s="89">
        <v>2025</v>
      </c>
      <c r="C188" s="96">
        <f t="shared" si="96"/>
        <v>320530.31289564312</v>
      </c>
      <c r="D188" s="96">
        <f t="shared" si="93"/>
        <v>1022.1775978708017</v>
      </c>
      <c r="E188" s="96">
        <f t="shared" si="97"/>
        <v>1335.542970398513</v>
      </c>
      <c r="F188" s="96">
        <f t="shared" si="98"/>
        <v>2357.7205682693148</v>
      </c>
      <c r="G188" s="96">
        <f t="shared" si="95"/>
        <v>319508.1352977723</v>
      </c>
    </row>
    <row r="189" spans="1:7" x14ac:dyDescent="0.25">
      <c r="A189" s="91" t="s">
        <v>117</v>
      </c>
      <c r="B189" s="89">
        <v>2025</v>
      </c>
      <c r="C189" s="96">
        <f t="shared" si="96"/>
        <v>319508.1352977723</v>
      </c>
      <c r="D189" s="96">
        <f t="shared" si="93"/>
        <v>1026.4366711952634</v>
      </c>
      <c r="E189" s="96">
        <f t="shared" si="97"/>
        <v>1331.2838970740513</v>
      </c>
      <c r="F189" s="96">
        <f t="shared" si="98"/>
        <v>2357.7205682693148</v>
      </c>
      <c r="G189" s="96">
        <f t="shared" si="95"/>
        <v>318481.69862657704</v>
      </c>
    </row>
    <row r="190" spans="1:7" x14ac:dyDescent="0.25">
      <c r="A190" s="91" t="s">
        <v>118</v>
      </c>
      <c r="B190" s="89">
        <v>2025</v>
      </c>
      <c r="C190" s="96">
        <f t="shared" si="96"/>
        <v>318481.69862657704</v>
      </c>
      <c r="D190" s="96">
        <f t="shared" si="93"/>
        <v>1030.713490658577</v>
      </c>
      <c r="E190" s="96">
        <f t="shared" si="97"/>
        <v>1327.0070776107377</v>
      </c>
      <c r="F190" s="96">
        <f t="shared" si="98"/>
        <v>2357.7205682693148</v>
      </c>
      <c r="G190" s="96">
        <f t="shared" si="95"/>
        <v>317450.98513591848</v>
      </c>
    </row>
    <row r="191" spans="1:7" x14ac:dyDescent="0.25">
      <c r="A191" s="91" t="s">
        <v>119</v>
      </c>
      <c r="B191" s="89">
        <v>2025</v>
      </c>
      <c r="C191" s="96">
        <f t="shared" si="96"/>
        <v>317450.98513591848</v>
      </c>
      <c r="D191" s="96">
        <f t="shared" si="93"/>
        <v>1035.0081302029878</v>
      </c>
      <c r="E191" s="96">
        <f t="shared" si="97"/>
        <v>1322.712438066327</v>
      </c>
      <c r="F191" s="96">
        <f t="shared" si="98"/>
        <v>2357.7205682693148</v>
      </c>
      <c r="G191" s="96">
        <f t="shared" si="95"/>
        <v>316415.97700571548</v>
      </c>
    </row>
    <row r="192" spans="1:7" x14ac:dyDescent="0.25">
      <c r="A192" s="91" t="s">
        <v>120</v>
      </c>
      <c r="B192" s="89">
        <v>2025</v>
      </c>
      <c r="C192" s="96">
        <f t="shared" si="96"/>
        <v>316415.97700571548</v>
      </c>
      <c r="D192" s="96">
        <f t="shared" si="93"/>
        <v>1039.3206640788335</v>
      </c>
      <c r="E192" s="96">
        <f t="shared" si="97"/>
        <v>1318.3999041904813</v>
      </c>
      <c r="F192" s="96">
        <f t="shared" si="98"/>
        <v>2357.7205682693148</v>
      </c>
      <c r="G192" s="96">
        <f t="shared" si="95"/>
        <v>315376.65634163667</v>
      </c>
    </row>
    <row r="193" spans="1:7" x14ac:dyDescent="0.25">
      <c r="A193" s="91" t="s">
        <v>121</v>
      </c>
      <c r="B193" s="89">
        <v>2025</v>
      </c>
      <c r="C193" s="96">
        <f t="shared" si="96"/>
        <v>315376.65634163667</v>
      </c>
      <c r="D193" s="96">
        <f t="shared" si="93"/>
        <v>1043.6511668458286</v>
      </c>
      <c r="E193" s="96">
        <f t="shared" si="97"/>
        <v>1314.0694014234862</v>
      </c>
      <c r="F193" s="96">
        <f t="shared" si="98"/>
        <v>2357.7205682693148</v>
      </c>
      <c r="G193" s="96">
        <f t="shared" si="95"/>
        <v>314333.00517479086</v>
      </c>
    </row>
    <row r="194" spans="1:7" x14ac:dyDescent="0.25">
      <c r="A194" s="91" t="s">
        <v>122</v>
      </c>
      <c r="B194" s="89">
        <v>2025</v>
      </c>
      <c r="C194" s="96">
        <f t="shared" si="96"/>
        <v>314333.00517479086</v>
      </c>
      <c r="D194" s="96">
        <f t="shared" si="93"/>
        <v>1047.999713374353</v>
      </c>
      <c r="E194" s="96">
        <f t="shared" si="97"/>
        <v>1309.7208548949618</v>
      </c>
      <c r="F194" s="96">
        <f t="shared" si="98"/>
        <v>2357.7205682693148</v>
      </c>
      <c r="G194" s="96">
        <f t="shared" si="95"/>
        <v>313285.0054614165</v>
      </c>
    </row>
    <row r="195" spans="1:7" x14ac:dyDescent="0.25">
      <c r="A195" s="91" t="s">
        <v>123</v>
      </c>
      <c r="B195" s="89">
        <v>2025</v>
      </c>
      <c r="C195" s="96">
        <f t="shared" si="96"/>
        <v>313285.0054614165</v>
      </c>
      <c r="D195" s="96">
        <f t="shared" si="93"/>
        <v>1052.3663788467461</v>
      </c>
      <c r="E195" s="96">
        <f t="shared" si="97"/>
        <v>1305.3541894225687</v>
      </c>
      <c r="F195" s="96">
        <f t="shared" si="98"/>
        <v>2357.7205682693148</v>
      </c>
      <c r="G195" s="96">
        <f t="shared" si="95"/>
        <v>312232.63908256975</v>
      </c>
    </row>
    <row r="196" spans="1:7" x14ac:dyDescent="0.25">
      <c r="A196" s="91" t="s">
        <v>124</v>
      </c>
      <c r="B196" s="89">
        <v>2025</v>
      </c>
      <c r="C196" s="96">
        <f t="shared" si="96"/>
        <v>312232.63908256975</v>
      </c>
      <c r="D196" s="96">
        <f t="shared" si="93"/>
        <v>1056.7512387586075</v>
      </c>
      <c r="E196" s="96">
        <f t="shared" si="97"/>
        <v>1300.9693295107072</v>
      </c>
      <c r="F196" s="96">
        <f t="shared" si="98"/>
        <v>2357.7205682693148</v>
      </c>
      <c r="G196" s="97">
        <f t="shared" si="95"/>
        <v>311175.88784381113</v>
      </c>
    </row>
    <row r="197" spans="1:7" x14ac:dyDescent="0.25">
      <c r="B197" s="89"/>
      <c r="C197" s="98"/>
      <c r="D197" s="97">
        <f t="shared" ref="D197:E197" si="99">SUM(D185:D196)</f>
        <v>12395.579764186667</v>
      </c>
      <c r="E197" s="97">
        <f t="shared" si="99"/>
        <v>15897.067055045107</v>
      </c>
    </row>
    <row r="198" spans="1:7" x14ac:dyDescent="0.25">
      <c r="B198" s="89"/>
    </row>
    <row r="199" spans="1:7" x14ac:dyDescent="0.25">
      <c r="A199" s="91" t="s">
        <v>113</v>
      </c>
      <c r="B199" s="89">
        <v>2026</v>
      </c>
      <c r="C199" s="96">
        <f t="shared" ref="C199" si="100">+G196</f>
        <v>311175.88784381113</v>
      </c>
      <c r="D199" s="96">
        <f t="shared" ref="D199:D210" si="101">+F199-E199</f>
        <v>1061.1543689201017</v>
      </c>
      <c r="E199" s="96">
        <f>+C199*$J$5</f>
        <v>1296.5661993492131</v>
      </c>
      <c r="F199" s="96">
        <f t="shared" ref="F199" si="102">+F196</f>
        <v>2357.7205682693148</v>
      </c>
      <c r="G199" s="96">
        <f t="shared" ref="G199:G210" si="103">+C199-D199</f>
        <v>310114.73347489105</v>
      </c>
    </row>
    <row r="200" spans="1:7" x14ac:dyDescent="0.25">
      <c r="A200" s="91" t="s">
        <v>114</v>
      </c>
      <c r="B200" s="89">
        <v>2026</v>
      </c>
      <c r="C200" s="96">
        <f t="shared" ref="C200:C210" si="104">+G199</f>
        <v>310114.73347489105</v>
      </c>
      <c r="D200" s="96">
        <f t="shared" si="101"/>
        <v>1065.5758454572688</v>
      </c>
      <c r="E200" s="96">
        <f t="shared" ref="E200:E210" si="105">+C200*$J$5</f>
        <v>1292.144722812046</v>
      </c>
      <c r="F200" s="96">
        <f t="shared" ref="F200:F210" si="106">+F199</f>
        <v>2357.7205682693148</v>
      </c>
      <c r="G200" s="96">
        <f t="shared" si="103"/>
        <v>309049.15762943379</v>
      </c>
    </row>
    <row r="201" spans="1:7" x14ac:dyDescent="0.25">
      <c r="A201" s="91" t="s">
        <v>115</v>
      </c>
      <c r="B201" s="89">
        <v>2026</v>
      </c>
      <c r="C201" s="96">
        <f t="shared" si="104"/>
        <v>309049.15762943379</v>
      </c>
      <c r="D201" s="96">
        <f t="shared" si="101"/>
        <v>1070.0157448133407</v>
      </c>
      <c r="E201" s="96">
        <f t="shared" si="105"/>
        <v>1287.7048234559741</v>
      </c>
      <c r="F201" s="96">
        <f t="shared" si="106"/>
        <v>2357.7205682693148</v>
      </c>
      <c r="G201" s="96">
        <f t="shared" si="103"/>
        <v>307979.14188462042</v>
      </c>
    </row>
    <row r="202" spans="1:7" x14ac:dyDescent="0.25">
      <c r="A202" s="91" t="s">
        <v>116</v>
      </c>
      <c r="B202" s="89">
        <v>2026</v>
      </c>
      <c r="C202" s="96">
        <f t="shared" si="104"/>
        <v>307979.14188462042</v>
      </c>
      <c r="D202" s="96">
        <f t="shared" si="101"/>
        <v>1074.4741437500629</v>
      </c>
      <c r="E202" s="96">
        <f t="shared" si="105"/>
        <v>1283.2464245192518</v>
      </c>
      <c r="F202" s="96">
        <f t="shared" si="106"/>
        <v>2357.7205682693148</v>
      </c>
      <c r="G202" s="96">
        <f t="shared" si="103"/>
        <v>306904.66774087038</v>
      </c>
    </row>
    <row r="203" spans="1:7" x14ac:dyDescent="0.25">
      <c r="A203" s="91" t="s">
        <v>117</v>
      </c>
      <c r="B203" s="89">
        <v>2026</v>
      </c>
      <c r="C203" s="96">
        <f t="shared" si="104"/>
        <v>306904.66774087038</v>
      </c>
      <c r="D203" s="96">
        <f t="shared" si="101"/>
        <v>1078.9511193490216</v>
      </c>
      <c r="E203" s="96">
        <f t="shared" si="105"/>
        <v>1278.7694489202931</v>
      </c>
      <c r="F203" s="96">
        <f t="shared" si="106"/>
        <v>2357.7205682693148</v>
      </c>
      <c r="G203" s="96">
        <f t="shared" si="103"/>
        <v>305825.71662152134</v>
      </c>
    </row>
    <row r="204" spans="1:7" x14ac:dyDescent="0.25">
      <c r="A204" s="91" t="s">
        <v>118</v>
      </c>
      <c r="B204" s="89">
        <v>2026</v>
      </c>
      <c r="C204" s="96">
        <f t="shared" si="104"/>
        <v>305825.71662152134</v>
      </c>
      <c r="D204" s="96">
        <f t="shared" si="101"/>
        <v>1083.4467490129759</v>
      </c>
      <c r="E204" s="96">
        <f t="shared" si="105"/>
        <v>1274.2738192563388</v>
      </c>
      <c r="F204" s="96">
        <f t="shared" si="106"/>
        <v>2357.7205682693148</v>
      </c>
      <c r="G204" s="96">
        <f t="shared" si="103"/>
        <v>304742.26987250836</v>
      </c>
    </row>
    <row r="205" spans="1:7" x14ac:dyDescent="0.25">
      <c r="A205" s="91" t="s">
        <v>119</v>
      </c>
      <c r="B205" s="89">
        <v>2026</v>
      </c>
      <c r="C205" s="96">
        <f t="shared" si="104"/>
        <v>304742.26987250836</v>
      </c>
      <c r="D205" s="96">
        <f t="shared" si="101"/>
        <v>1087.9611104671967</v>
      </c>
      <c r="E205" s="96">
        <f t="shared" si="105"/>
        <v>1269.759457802118</v>
      </c>
      <c r="F205" s="96">
        <f t="shared" si="106"/>
        <v>2357.7205682693148</v>
      </c>
      <c r="G205" s="96">
        <f t="shared" si="103"/>
        <v>303654.30876204115</v>
      </c>
    </row>
    <row r="206" spans="1:7" x14ac:dyDescent="0.25">
      <c r="A206" s="91" t="s">
        <v>120</v>
      </c>
      <c r="B206" s="89">
        <v>2026</v>
      </c>
      <c r="C206" s="96">
        <f t="shared" si="104"/>
        <v>303654.30876204115</v>
      </c>
      <c r="D206" s="96">
        <f t="shared" si="101"/>
        <v>1092.4942817608101</v>
      </c>
      <c r="E206" s="96">
        <f t="shared" si="105"/>
        <v>1265.2262865085047</v>
      </c>
      <c r="F206" s="96">
        <f t="shared" si="106"/>
        <v>2357.7205682693148</v>
      </c>
      <c r="G206" s="96">
        <f t="shared" si="103"/>
        <v>302561.81448028033</v>
      </c>
    </row>
    <row r="207" spans="1:7" x14ac:dyDescent="0.25">
      <c r="A207" s="91" t="s">
        <v>121</v>
      </c>
      <c r="B207" s="89">
        <v>2026</v>
      </c>
      <c r="C207" s="96">
        <f t="shared" si="104"/>
        <v>302561.81448028033</v>
      </c>
      <c r="D207" s="96">
        <f t="shared" si="101"/>
        <v>1097.0463412681468</v>
      </c>
      <c r="E207" s="96">
        <f t="shared" si="105"/>
        <v>1260.674227001168</v>
      </c>
      <c r="F207" s="96">
        <f t="shared" si="106"/>
        <v>2357.7205682693148</v>
      </c>
      <c r="G207" s="96">
        <f t="shared" si="103"/>
        <v>301464.76813901216</v>
      </c>
    </row>
    <row r="208" spans="1:7" x14ac:dyDescent="0.25">
      <c r="A208" s="91" t="s">
        <v>122</v>
      </c>
      <c r="B208" s="89">
        <v>2026</v>
      </c>
      <c r="C208" s="96">
        <f t="shared" si="104"/>
        <v>301464.76813901216</v>
      </c>
      <c r="D208" s="96">
        <f t="shared" si="101"/>
        <v>1101.6173676900974</v>
      </c>
      <c r="E208" s="96">
        <f t="shared" si="105"/>
        <v>1256.1032005792174</v>
      </c>
      <c r="F208" s="96">
        <f t="shared" si="106"/>
        <v>2357.7205682693148</v>
      </c>
      <c r="G208" s="96">
        <f t="shared" si="103"/>
        <v>300363.15077132208</v>
      </c>
    </row>
    <row r="209" spans="1:7" x14ac:dyDescent="0.25">
      <c r="A209" s="91" t="s">
        <v>123</v>
      </c>
      <c r="B209" s="89">
        <v>2026</v>
      </c>
      <c r="C209" s="96">
        <f t="shared" si="104"/>
        <v>300363.15077132208</v>
      </c>
      <c r="D209" s="96">
        <f t="shared" si="101"/>
        <v>1106.2074400554727</v>
      </c>
      <c r="E209" s="96">
        <f t="shared" si="105"/>
        <v>1251.513128213842</v>
      </c>
      <c r="F209" s="96">
        <f t="shared" si="106"/>
        <v>2357.7205682693148</v>
      </c>
      <c r="G209" s="96">
        <f t="shared" si="103"/>
        <v>299256.94333126658</v>
      </c>
    </row>
    <row r="210" spans="1:7" x14ac:dyDescent="0.25">
      <c r="A210" s="91" t="s">
        <v>124</v>
      </c>
      <c r="B210" s="89">
        <v>2026</v>
      </c>
      <c r="C210" s="96">
        <f t="shared" si="104"/>
        <v>299256.94333126658</v>
      </c>
      <c r="D210" s="96">
        <f t="shared" si="101"/>
        <v>1110.8166377223706</v>
      </c>
      <c r="E210" s="96">
        <f t="shared" si="105"/>
        <v>1246.9039305469441</v>
      </c>
      <c r="F210" s="96">
        <f t="shared" si="106"/>
        <v>2357.7205682693148</v>
      </c>
      <c r="G210" s="97">
        <f t="shared" si="103"/>
        <v>298146.12669354421</v>
      </c>
    </row>
    <row r="211" spans="1:7" x14ac:dyDescent="0.25">
      <c r="B211" s="84"/>
      <c r="C211" s="97"/>
      <c r="D211" s="97">
        <f t="shared" ref="D211:E211" si="107">SUM(D199:D210)</f>
        <v>13029.761150266866</v>
      </c>
      <c r="E211" s="97">
        <f t="shared" si="107"/>
        <v>15262.885668964911</v>
      </c>
      <c r="F211" s="96"/>
      <c r="G211" s="96"/>
    </row>
    <row r="212" spans="1:7" x14ac:dyDescent="0.25">
      <c r="B212" s="89"/>
      <c r="C212" s="96"/>
      <c r="D212" s="96"/>
      <c r="E212" s="96"/>
      <c r="F212" s="96"/>
      <c r="G212" s="96"/>
    </row>
    <row r="213" spans="1:7" x14ac:dyDescent="0.25">
      <c r="A213" s="91" t="s">
        <v>113</v>
      </c>
      <c r="B213" s="89">
        <v>2027</v>
      </c>
      <c r="C213" s="96">
        <f t="shared" ref="C213" si="108">+G210</f>
        <v>298146.12669354421</v>
      </c>
      <c r="D213" s="96">
        <f t="shared" ref="D213:D224" si="109">+F213-E213</f>
        <v>1115.4450403795472</v>
      </c>
      <c r="E213" s="96">
        <f>+C213*$J$5</f>
        <v>1242.2755278897675</v>
      </c>
      <c r="F213" s="96">
        <f t="shared" ref="F213" si="110">+F210</f>
        <v>2357.7205682693148</v>
      </c>
      <c r="G213" s="96">
        <f t="shared" ref="G213:G224" si="111">+C213-D213</f>
        <v>297030.68165316468</v>
      </c>
    </row>
    <row r="214" spans="1:7" x14ac:dyDescent="0.25">
      <c r="A214" s="91" t="s">
        <v>114</v>
      </c>
      <c r="B214" s="89">
        <v>2027</v>
      </c>
      <c r="C214" s="96">
        <f t="shared" ref="C214:C224" si="112">+G213</f>
        <v>297030.68165316468</v>
      </c>
      <c r="D214" s="96">
        <f t="shared" si="109"/>
        <v>1120.0927280477954</v>
      </c>
      <c r="E214" s="96">
        <f t="shared" ref="E214:E224" si="113">+C214*$J$5</f>
        <v>1237.6278402215194</v>
      </c>
      <c r="F214" s="96">
        <f t="shared" ref="F214:F224" si="114">+F213</f>
        <v>2357.7205682693148</v>
      </c>
      <c r="G214" s="96">
        <f t="shared" si="111"/>
        <v>295910.58892511687</v>
      </c>
    </row>
    <row r="215" spans="1:7" x14ac:dyDescent="0.25">
      <c r="A215" s="91" t="s">
        <v>115</v>
      </c>
      <c r="B215" s="89">
        <v>2027</v>
      </c>
      <c r="C215" s="96">
        <f t="shared" si="112"/>
        <v>295910.58892511687</v>
      </c>
      <c r="D215" s="96">
        <f t="shared" si="109"/>
        <v>1124.7597810813279</v>
      </c>
      <c r="E215" s="96">
        <f t="shared" si="113"/>
        <v>1232.9607871879869</v>
      </c>
      <c r="F215" s="96">
        <f t="shared" si="114"/>
        <v>2357.7205682693148</v>
      </c>
      <c r="G215" s="96">
        <f t="shared" si="111"/>
        <v>294785.82914403552</v>
      </c>
    </row>
    <row r="216" spans="1:7" x14ac:dyDescent="0.25">
      <c r="A216" s="91" t="s">
        <v>116</v>
      </c>
      <c r="B216" s="89">
        <v>2027</v>
      </c>
      <c r="C216" s="96">
        <f t="shared" si="112"/>
        <v>294785.82914403552</v>
      </c>
      <c r="D216" s="96">
        <f t="shared" si="109"/>
        <v>1129.4462801691668</v>
      </c>
      <c r="E216" s="96">
        <f t="shared" si="113"/>
        <v>1228.2742881001479</v>
      </c>
      <c r="F216" s="96">
        <f t="shared" si="114"/>
        <v>2357.7205682693148</v>
      </c>
      <c r="G216" s="96">
        <f t="shared" si="111"/>
        <v>293656.38286386634</v>
      </c>
    </row>
    <row r="217" spans="1:7" x14ac:dyDescent="0.25">
      <c r="A217" s="91" t="s">
        <v>117</v>
      </c>
      <c r="B217" s="89">
        <v>2027</v>
      </c>
      <c r="C217" s="96">
        <f t="shared" si="112"/>
        <v>293656.38286386634</v>
      </c>
      <c r="D217" s="96">
        <f t="shared" si="109"/>
        <v>1134.1523063365385</v>
      </c>
      <c r="E217" s="96">
        <f t="shared" si="113"/>
        <v>1223.5682619327763</v>
      </c>
      <c r="F217" s="96">
        <f t="shared" si="114"/>
        <v>2357.7205682693148</v>
      </c>
      <c r="G217" s="96">
        <f t="shared" si="111"/>
        <v>292522.23055752978</v>
      </c>
    </row>
    <row r="218" spans="1:7" x14ac:dyDescent="0.25">
      <c r="A218" s="91" t="s">
        <v>118</v>
      </c>
      <c r="B218" s="89">
        <v>2027</v>
      </c>
      <c r="C218" s="96">
        <f t="shared" si="112"/>
        <v>292522.23055752978</v>
      </c>
      <c r="D218" s="96">
        <f t="shared" si="109"/>
        <v>1138.8779409462741</v>
      </c>
      <c r="E218" s="96">
        <f t="shared" si="113"/>
        <v>1218.8426273230407</v>
      </c>
      <c r="F218" s="96">
        <f t="shared" si="114"/>
        <v>2357.7205682693148</v>
      </c>
      <c r="G218" s="96">
        <f t="shared" si="111"/>
        <v>291383.35261658352</v>
      </c>
    </row>
    <row r="219" spans="1:7" x14ac:dyDescent="0.25">
      <c r="A219" s="91" t="s">
        <v>119</v>
      </c>
      <c r="B219" s="89">
        <v>2027</v>
      </c>
      <c r="C219" s="96">
        <f t="shared" si="112"/>
        <v>291383.35261658352</v>
      </c>
      <c r="D219" s="96">
        <f t="shared" si="109"/>
        <v>1143.6232657002167</v>
      </c>
      <c r="E219" s="96">
        <f t="shared" si="113"/>
        <v>1214.097302569098</v>
      </c>
      <c r="F219" s="96">
        <f t="shared" si="114"/>
        <v>2357.7205682693148</v>
      </c>
      <c r="G219" s="96">
        <f t="shared" si="111"/>
        <v>290239.72935088328</v>
      </c>
    </row>
    <row r="220" spans="1:7" x14ac:dyDescent="0.25">
      <c r="A220" s="91" t="s">
        <v>120</v>
      </c>
      <c r="B220" s="89">
        <v>2027</v>
      </c>
      <c r="C220" s="96">
        <f t="shared" si="112"/>
        <v>290239.72935088328</v>
      </c>
      <c r="D220" s="96">
        <f t="shared" si="109"/>
        <v>1148.3883626406343</v>
      </c>
      <c r="E220" s="96">
        <f t="shared" si="113"/>
        <v>1209.3322056286804</v>
      </c>
      <c r="F220" s="96">
        <f t="shared" si="114"/>
        <v>2357.7205682693148</v>
      </c>
      <c r="G220" s="96">
        <f t="shared" si="111"/>
        <v>289091.34098824265</v>
      </c>
    </row>
    <row r="221" spans="1:7" x14ac:dyDescent="0.25">
      <c r="A221" s="91" t="s">
        <v>121</v>
      </c>
      <c r="B221" s="89">
        <v>2027</v>
      </c>
      <c r="C221" s="96">
        <f t="shared" si="112"/>
        <v>289091.34098824265</v>
      </c>
      <c r="D221" s="96">
        <f t="shared" si="109"/>
        <v>1153.173314151637</v>
      </c>
      <c r="E221" s="96">
        <f t="shared" si="113"/>
        <v>1204.5472541176778</v>
      </c>
      <c r="F221" s="96">
        <f t="shared" si="114"/>
        <v>2357.7205682693148</v>
      </c>
      <c r="G221" s="96">
        <f t="shared" si="111"/>
        <v>287938.167674091</v>
      </c>
    </row>
    <row r="222" spans="1:7" x14ac:dyDescent="0.25">
      <c r="A222" s="91" t="s">
        <v>122</v>
      </c>
      <c r="B222" s="89">
        <v>2027</v>
      </c>
      <c r="C222" s="96">
        <f t="shared" si="112"/>
        <v>287938.167674091</v>
      </c>
      <c r="D222" s="96">
        <f t="shared" si="109"/>
        <v>1157.9782029606022</v>
      </c>
      <c r="E222" s="96">
        <f t="shared" si="113"/>
        <v>1199.7423653087126</v>
      </c>
      <c r="F222" s="96">
        <f t="shared" si="114"/>
        <v>2357.7205682693148</v>
      </c>
      <c r="G222" s="96">
        <f t="shared" si="111"/>
        <v>286780.18947113038</v>
      </c>
    </row>
    <row r="223" spans="1:7" x14ac:dyDescent="0.25">
      <c r="A223" s="91" t="s">
        <v>123</v>
      </c>
      <c r="B223" s="89">
        <v>2027</v>
      </c>
      <c r="C223" s="96">
        <f t="shared" si="112"/>
        <v>286780.18947113038</v>
      </c>
      <c r="D223" s="96">
        <f t="shared" si="109"/>
        <v>1162.8031121396048</v>
      </c>
      <c r="E223" s="96">
        <f t="shared" si="113"/>
        <v>1194.91745612971</v>
      </c>
      <c r="F223" s="96">
        <f t="shared" si="114"/>
        <v>2357.7205682693148</v>
      </c>
      <c r="G223" s="96">
        <f t="shared" si="111"/>
        <v>285617.3863589908</v>
      </c>
    </row>
    <row r="224" spans="1:7" x14ac:dyDescent="0.25">
      <c r="A224" s="91" t="s">
        <v>124</v>
      </c>
      <c r="B224" s="89">
        <v>2027</v>
      </c>
      <c r="C224" s="96">
        <f t="shared" si="112"/>
        <v>285617.3863589908</v>
      </c>
      <c r="D224" s="96">
        <f t="shared" si="109"/>
        <v>1167.6481251068531</v>
      </c>
      <c r="E224" s="96">
        <f t="shared" si="113"/>
        <v>1190.0724431624617</v>
      </c>
      <c r="F224" s="96">
        <f t="shared" si="114"/>
        <v>2357.7205682693148</v>
      </c>
      <c r="G224" s="97">
        <f t="shared" si="111"/>
        <v>284449.73823388392</v>
      </c>
    </row>
    <row r="225" spans="1:7" x14ac:dyDescent="0.25">
      <c r="C225" s="98"/>
      <c r="D225" s="97">
        <f t="shared" ref="D225:E225" si="115">SUM(D213:D224)</f>
        <v>13696.388459660198</v>
      </c>
      <c r="E225" s="97">
        <f t="shared" si="115"/>
        <v>14596.258359571579</v>
      </c>
    </row>
    <row r="226" spans="1:7" x14ac:dyDescent="0.25">
      <c r="B226" s="89"/>
    </row>
    <row r="227" spans="1:7" x14ac:dyDescent="0.25">
      <c r="A227" s="91" t="s">
        <v>113</v>
      </c>
      <c r="B227" s="89">
        <v>2028</v>
      </c>
      <c r="C227" s="96">
        <f t="shared" ref="C227" si="116">+G224</f>
        <v>284449.73823388392</v>
      </c>
      <c r="D227" s="96">
        <f t="shared" ref="D227:D238" si="117">+F227-E227</f>
        <v>1172.5133256281317</v>
      </c>
      <c r="E227" s="96">
        <f>+C227*$J$5</f>
        <v>1185.207242641183</v>
      </c>
      <c r="F227" s="96">
        <f t="shared" ref="F227" si="118">+F224</f>
        <v>2357.7205682693148</v>
      </c>
      <c r="G227" s="96">
        <f t="shared" ref="G227:G238" si="119">+C227-D227</f>
        <v>283277.2249082558</v>
      </c>
    </row>
    <row r="228" spans="1:7" x14ac:dyDescent="0.25">
      <c r="A228" s="91" t="s">
        <v>114</v>
      </c>
      <c r="B228" s="89">
        <v>2028</v>
      </c>
      <c r="C228" s="96">
        <f t="shared" ref="C228:C238" si="120">+G227</f>
        <v>283277.2249082558</v>
      </c>
      <c r="D228" s="96">
        <f t="shared" si="117"/>
        <v>1177.398797818249</v>
      </c>
      <c r="E228" s="96">
        <f t="shared" ref="E228:E238" si="121">+C228*$J$5</f>
        <v>1180.3217704510657</v>
      </c>
      <c r="F228" s="96">
        <f t="shared" ref="F228:F238" si="122">+F227</f>
        <v>2357.7205682693148</v>
      </c>
      <c r="G228" s="96">
        <f t="shared" si="119"/>
        <v>282099.82611043757</v>
      </c>
    </row>
    <row r="229" spans="1:7" x14ac:dyDescent="0.25">
      <c r="A229" s="91" t="s">
        <v>115</v>
      </c>
      <c r="B229" s="89">
        <v>2028</v>
      </c>
      <c r="C229" s="96">
        <f t="shared" si="120"/>
        <v>282099.82611043757</v>
      </c>
      <c r="D229" s="96">
        <f t="shared" si="117"/>
        <v>1182.3046261424915</v>
      </c>
      <c r="E229" s="96">
        <f t="shared" si="121"/>
        <v>1175.4159421268232</v>
      </c>
      <c r="F229" s="96">
        <f t="shared" si="122"/>
        <v>2357.7205682693148</v>
      </c>
      <c r="G229" s="96">
        <f t="shared" si="119"/>
        <v>280917.52148429508</v>
      </c>
    </row>
    <row r="230" spans="1:7" x14ac:dyDescent="0.25">
      <c r="A230" s="91" t="s">
        <v>116</v>
      </c>
      <c r="B230" s="89">
        <v>2028</v>
      </c>
      <c r="C230" s="96">
        <f t="shared" si="120"/>
        <v>280917.52148429508</v>
      </c>
      <c r="D230" s="96">
        <f t="shared" si="117"/>
        <v>1187.2308954180853</v>
      </c>
      <c r="E230" s="96">
        <f t="shared" si="121"/>
        <v>1170.4896728512294</v>
      </c>
      <c r="F230" s="96">
        <f t="shared" si="122"/>
        <v>2357.7205682693148</v>
      </c>
      <c r="G230" s="96">
        <f t="shared" si="119"/>
        <v>279730.29058887699</v>
      </c>
    </row>
    <row r="231" spans="1:7" x14ac:dyDescent="0.25">
      <c r="A231" s="91" t="s">
        <v>117</v>
      </c>
      <c r="B231" s="89">
        <v>2028</v>
      </c>
      <c r="C231" s="96">
        <f t="shared" si="120"/>
        <v>279730.29058887699</v>
      </c>
      <c r="D231" s="96">
        <f t="shared" si="117"/>
        <v>1192.1776908156608</v>
      </c>
      <c r="E231" s="96">
        <f t="shared" si="121"/>
        <v>1165.542877453654</v>
      </c>
      <c r="F231" s="96">
        <f t="shared" si="122"/>
        <v>2357.7205682693148</v>
      </c>
      <c r="G231" s="96">
        <f t="shared" si="119"/>
        <v>278538.11289806134</v>
      </c>
    </row>
    <row r="232" spans="1:7" x14ac:dyDescent="0.25">
      <c r="A232" s="91" t="s">
        <v>118</v>
      </c>
      <c r="B232" s="89">
        <v>2028</v>
      </c>
      <c r="C232" s="96">
        <f t="shared" si="120"/>
        <v>278538.11289806134</v>
      </c>
      <c r="D232" s="96">
        <f t="shared" si="117"/>
        <v>1197.1450978607259</v>
      </c>
      <c r="E232" s="96">
        <f t="shared" si="121"/>
        <v>1160.5754704085889</v>
      </c>
      <c r="F232" s="96">
        <f t="shared" si="122"/>
        <v>2357.7205682693148</v>
      </c>
      <c r="G232" s="96">
        <f t="shared" si="119"/>
        <v>277340.96780020063</v>
      </c>
    </row>
    <row r="233" spans="1:7" x14ac:dyDescent="0.25">
      <c r="A233" s="91" t="s">
        <v>119</v>
      </c>
      <c r="B233" s="89">
        <v>2028</v>
      </c>
      <c r="C233" s="96">
        <f t="shared" si="120"/>
        <v>277340.96780020063</v>
      </c>
      <c r="D233" s="96">
        <f t="shared" si="117"/>
        <v>1202.1332024351454</v>
      </c>
      <c r="E233" s="96">
        <f t="shared" si="121"/>
        <v>1155.5873658341693</v>
      </c>
      <c r="F233" s="96">
        <f t="shared" si="122"/>
        <v>2357.7205682693148</v>
      </c>
      <c r="G233" s="96">
        <f t="shared" si="119"/>
        <v>276138.83459776547</v>
      </c>
    </row>
    <row r="234" spans="1:7" x14ac:dyDescent="0.25">
      <c r="A234" s="91" t="s">
        <v>120</v>
      </c>
      <c r="B234" s="89">
        <v>2028</v>
      </c>
      <c r="C234" s="96">
        <f t="shared" si="120"/>
        <v>276138.83459776547</v>
      </c>
      <c r="D234" s="96">
        <f t="shared" si="117"/>
        <v>1207.1420907786253</v>
      </c>
      <c r="E234" s="96">
        <f t="shared" si="121"/>
        <v>1150.5784774906895</v>
      </c>
      <c r="F234" s="96">
        <f t="shared" si="122"/>
        <v>2357.7205682693148</v>
      </c>
      <c r="G234" s="96">
        <f t="shared" si="119"/>
        <v>274931.69250698684</v>
      </c>
    </row>
    <row r="235" spans="1:7" x14ac:dyDescent="0.25">
      <c r="A235" s="91" t="s">
        <v>121</v>
      </c>
      <c r="B235" s="89">
        <v>2028</v>
      </c>
      <c r="C235" s="96">
        <f t="shared" si="120"/>
        <v>274931.69250698684</v>
      </c>
      <c r="D235" s="96">
        <f t="shared" si="117"/>
        <v>1212.1718494902029</v>
      </c>
      <c r="E235" s="96">
        <f t="shared" si="121"/>
        <v>1145.5487187791118</v>
      </c>
      <c r="F235" s="96">
        <f t="shared" si="122"/>
        <v>2357.7205682693148</v>
      </c>
      <c r="G235" s="96">
        <f t="shared" si="119"/>
        <v>273719.52065749664</v>
      </c>
    </row>
    <row r="236" spans="1:7" x14ac:dyDescent="0.25">
      <c r="A236" s="91" t="s">
        <v>122</v>
      </c>
      <c r="B236" s="89">
        <v>2028</v>
      </c>
      <c r="C236" s="96">
        <f t="shared" si="120"/>
        <v>273719.52065749664</v>
      </c>
      <c r="D236" s="96">
        <f t="shared" si="117"/>
        <v>1217.2225655297455</v>
      </c>
      <c r="E236" s="96">
        <f t="shared" si="121"/>
        <v>1140.4980027395693</v>
      </c>
      <c r="F236" s="96">
        <f t="shared" si="122"/>
        <v>2357.7205682693148</v>
      </c>
      <c r="G236" s="96">
        <f t="shared" si="119"/>
        <v>272502.29809196689</v>
      </c>
    </row>
    <row r="237" spans="1:7" x14ac:dyDescent="0.25">
      <c r="A237" s="91" t="s">
        <v>123</v>
      </c>
      <c r="B237" s="89">
        <v>2028</v>
      </c>
      <c r="C237" s="96">
        <f t="shared" si="120"/>
        <v>272502.29809196689</v>
      </c>
      <c r="D237" s="96">
        <f t="shared" si="117"/>
        <v>1222.2943262194526</v>
      </c>
      <c r="E237" s="96">
        <f t="shared" si="121"/>
        <v>1135.4262420498621</v>
      </c>
      <c r="F237" s="96">
        <f t="shared" si="122"/>
        <v>2357.7205682693148</v>
      </c>
      <c r="G237" s="96">
        <f t="shared" si="119"/>
        <v>271280.00376574742</v>
      </c>
    </row>
    <row r="238" spans="1:7" x14ac:dyDescent="0.25">
      <c r="A238" s="91" t="s">
        <v>124</v>
      </c>
      <c r="B238" s="89">
        <v>2028</v>
      </c>
      <c r="C238" s="96">
        <f t="shared" si="120"/>
        <v>271280.00376574742</v>
      </c>
      <c r="D238" s="96">
        <f t="shared" si="117"/>
        <v>1227.3872192453673</v>
      </c>
      <c r="E238" s="96">
        <f t="shared" si="121"/>
        <v>1130.3333490239474</v>
      </c>
      <c r="F238" s="96">
        <f t="shared" si="122"/>
        <v>2357.7205682693148</v>
      </c>
      <c r="G238" s="97">
        <f t="shared" si="119"/>
        <v>270052.61654650205</v>
      </c>
    </row>
    <row r="239" spans="1:7" x14ac:dyDescent="0.25">
      <c r="B239" s="89"/>
      <c r="C239" s="97"/>
      <c r="D239" s="97">
        <f t="shared" ref="D239:E239" si="123">SUM(D227:D238)</f>
        <v>14397.121687381885</v>
      </c>
      <c r="E239" s="97">
        <f t="shared" si="123"/>
        <v>13895.525131849892</v>
      </c>
      <c r="F239" s="96"/>
      <c r="G239" s="96"/>
    </row>
    <row r="240" spans="1:7" x14ac:dyDescent="0.25">
      <c r="B240" s="89"/>
      <c r="C240" s="96"/>
      <c r="D240" s="96"/>
      <c r="E240" s="96"/>
      <c r="F240" s="96"/>
      <c r="G240" s="96"/>
    </row>
    <row r="241" spans="1:7" x14ac:dyDescent="0.25">
      <c r="A241" s="91" t="s">
        <v>113</v>
      </c>
      <c r="B241" s="89">
        <v>2029</v>
      </c>
      <c r="C241" s="96">
        <f t="shared" ref="C241" si="124">+G238</f>
        <v>270052.61654650205</v>
      </c>
      <c r="D241" s="96">
        <f t="shared" ref="D241:D252" si="125">+F241-E241</f>
        <v>1232.5013326588896</v>
      </c>
      <c r="E241" s="96">
        <f>+C241*$J$5</f>
        <v>1125.2192356104251</v>
      </c>
      <c r="F241" s="96">
        <f t="shared" ref="F241" si="126">+F238</f>
        <v>2357.7205682693148</v>
      </c>
      <c r="G241" s="96">
        <f t="shared" ref="G241:G252" si="127">+C241-D241</f>
        <v>268820.11521384318</v>
      </c>
    </row>
    <row r="242" spans="1:7" x14ac:dyDescent="0.25">
      <c r="A242" s="91" t="s">
        <v>114</v>
      </c>
      <c r="B242" s="89">
        <v>2029</v>
      </c>
      <c r="C242" s="96">
        <f t="shared" ref="C242:C252" si="128">+G241</f>
        <v>268820.11521384318</v>
      </c>
      <c r="D242" s="96">
        <f t="shared" si="125"/>
        <v>1237.6367548783014</v>
      </c>
      <c r="E242" s="96">
        <f t="shared" ref="E242:E252" si="129">+C242*$J$5</f>
        <v>1120.0838133910133</v>
      </c>
      <c r="F242" s="96">
        <f t="shared" ref="F242:F252" si="130">+F241</f>
        <v>2357.7205682693148</v>
      </c>
      <c r="G242" s="96">
        <f t="shared" si="127"/>
        <v>267582.47845896491</v>
      </c>
    </row>
    <row r="243" spans="1:7" x14ac:dyDescent="0.25">
      <c r="A243" s="91" t="s">
        <v>115</v>
      </c>
      <c r="B243" s="89">
        <v>2029</v>
      </c>
      <c r="C243" s="96">
        <f t="shared" si="128"/>
        <v>267582.47845896491</v>
      </c>
      <c r="D243" s="96">
        <f t="shared" si="125"/>
        <v>1242.7935746902942</v>
      </c>
      <c r="E243" s="96">
        <f t="shared" si="129"/>
        <v>1114.9269935790205</v>
      </c>
      <c r="F243" s="96">
        <f t="shared" si="130"/>
        <v>2357.7205682693148</v>
      </c>
      <c r="G243" s="96">
        <f t="shared" si="127"/>
        <v>266339.68488427461</v>
      </c>
    </row>
    <row r="244" spans="1:7" x14ac:dyDescent="0.25">
      <c r="A244" s="91" t="s">
        <v>116</v>
      </c>
      <c r="B244" s="89">
        <v>2029</v>
      </c>
      <c r="C244" s="96">
        <f t="shared" si="128"/>
        <v>266339.68488427461</v>
      </c>
      <c r="D244" s="96">
        <f t="shared" si="125"/>
        <v>1247.9718812515039</v>
      </c>
      <c r="E244" s="96">
        <f t="shared" si="129"/>
        <v>1109.7486870178109</v>
      </c>
      <c r="F244" s="96">
        <f t="shared" si="130"/>
        <v>2357.7205682693148</v>
      </c>
      <c r="G244" s="96">
        <f t="shared" si="127"/>
        <v>265091.71300302312</v>
      </c>
    </row>
    <row r="245" spans="1:7" x14ac:dyDescent="0.25">
      <c r="A245" s="91" t="s">
        <v>117</v>
      </c>
      <c r="B245" s="89">
        <v>2029</v>
      </c>
      <c r="C245" s="96">
        <f t="shared" si="128"/>
        <v>265091.71300302312</v>
      </c>
      <c r="D245" s="96">
        <f t="shared" si="125"/>
        <v>1253.1717640900517</v>
      </c>
      <c r="E245" s="96">
        <f t="shared" si="129"/>
        <v>1104.548804179263</v>
      </c>
      <c r="F245" s="96">
        <f t="shared" si="130"/>
        <v>2357.7205682693148</v>
      </c>
      <c r="G245" s="96">
        <f t="shared" si="127"/>
        <v>263838.54123893304</v>
      </c>
    </row>
    <row r="246" spans="1:7" x14ac:dyDescent="0.25">
      <c r="A246" s="91" t="s">
        <v>118</v>
      </c>
      <c r="B246" s="89">
        <v>2029</v>
      </c>
      <c r="C246" s="96">
        <f t="shared" si="128"/>
        <v>263838.54123893304</v>
      </c>
      <c r="D246" s="96">
        <f t="shared" si="125"/>
        <v>1258.3933131070937</v>
      </c>
      <c r="E246" s="96">
        <f t="shared" si="129"/>
        <v>1099.327255162221</v>
      </c>
      <c r="F246" s="96">
        <f t="shared" si="130"/>
        <v>2357.7205682693148</v>
      </c>
      <c r="G246" s="96">
        <f t="shared" si="127"/>
        <v>262580.14792582596</v>
      </c>
    </row>
    <row r="247" spans="1:7" x14ac:dyDescent="0.25">
      <c r="A247" s="91" t="s">
        <v>119</v>
      </c>
      <c r="B247" s="89">
        <v>2029</v>
      </c>
      <c r="C247" s="96">
        <f t="shared" si="128"/>
        <v>262580.14792582596</v>
      </c>
      <c r="D247" s="96">
        <f t="shared" si="125"/>
        <v>1263.6366185783731</v>
      </c>
      <c r="E247" s="96">
        <f t="shared" si="129"/>
        <v>1094.0839496909416</v>
      </c>
      <c r="F247" s="96">
        <f t="shared" si="130"/>
        <v>2357.7205682693148</v>
      </c>
      <c r="G247" s="96">
        <f t="shared" si="127"/>
        <v>261316.51130724759</v>
      </c>
    </row>
    <row r="248" spans="1:7" x14ac:dyDescent="0.25">
      <c r="A248" s="91" t="s">
        <v>120</v>
      </c>
      <c r="B248" s="89">
        <v>2029</v>
      </c>
      <c r="C248" s="96">
        <f t="shared" si="128"/>
        <v>261316.51130724759</v>
      </c>
      <c r="D248" s="96">
        <f t="shared" si="125"/>
        <v>1268.9017711557831</v>
      </c>
      <c r="E248" s="96">
        <f t="shared" si="129"/>
        <v>1088.8187971135317</v>
      </c>
      <c r="F248" s="96">
        <f t="shared" si="130"/>
        <v>2357.7205682693148</v>
      </c>
      <c r="G248" s="96">
        <f t="shared" si="127"/>
        <v>260047.6095360918</v>
      </c>
    </row>
    <row r="249" spans="1:7" x14ac:dyDescent="0.25">
      <c r="A249" s="91" t="s">
        <v>121</v>
      </c>
      <c r="B249" s="89">
        <v>2029</v>
      </c>
      <c r="C249" s="96">
        <f t="shared" si="128"/>
        <v>260047.6095360918</v>
      </c>
      <c r="D249" s="96">
        <f t="shared" si="125"/>
        <v>1274.1888618689322</v>
      </c>
      <c r="E249" s="96">
        <f t="shared" si="129"/>
        <v>1083.5317064003825</v>
      </c>
      <c r="F249" s="96">
        <f t="shared" si="130"/>
        <v>2357.7205682693148</v>
      </c>
      <c r="G249" s="96">
        <f t="shared" si="127"/>
        <v>258773.42067422287</v>
      </c>
    </row>
    <row r="250" spans="1:7" x14ac:dyDescent="0.25">
      <c r="A250" s="91" t="s">
        <v>122</v>
      </c>
      <c r="B250" s="89">
        <v>2029</v>
      </c>
      <c r="C250" s="96">
        <f t="shared" si="128"/>
        <v>258773.42067422287</v>
      </c>
      <c r="D250" s="96">
        <f t="shared" si="125"/>
        <v>1279.4979821267195</v>
      </c>
      <c r="E250" s="96">
        <f t="shared" si="129"/>
        <v>1078.2225861425952</v>
      </c>
      <c r="F250" s="96">
        <f t="shared" si="130"/>
        <v>2357.7205682693148</v>
      </c>
      <c r="G250" s="96">
        <f t="shared" si="127"/>
        <v>257493.92269209615</v>
      </c>
    </row>
    <row r="251" spans="1:7" x14ac:dyDescent="0.25">
      <c r="A251" s="91" t="s">
        <v>123</v>
      </c>
      <c r="B251" s="89">
        <v>2029</v>
      </c>
      <c r="C251" s="96">
        <f t="shared" si="128"/>
        <v>257493.92269209615</v>
      </c>
      <c r="D251" s="96">
        <f t="shared" si="125"/>
        <v>1284.8292237189141</v>
      </c>
      <c r="E251" s="96">
        <f t="shared" si="129"/>
        <v>1072.8913445504006</v>
      </c>
      <c r="F251" s="96">
        <f t="shared" si="130"/>
        <v>2357.7205682693148</v>
      </c>
      <c r="G251" s="96">
        <f t="shared" si="127"/>
        <v>256209.09346837725</v>
      </c>
    </row>
    <row r="252" spans="1:7" x14ac:dyDescent="0.25">
      <c r="A252" s="91" t="s">
        <v>124</v>
      </c>
      <c r="B252" s="89">
        <v>2029</v>
      </c>
      <c r="C252" s="96">
        <f t="shared" si="128"/>
        <v>256209.09346837725</v>
      </c>
      <c r="D252" s="96">
        <f t="shared" si="125"/>
        <v>1290.182678817743</v>
      </c>
      <c r="E252" s="96">
        <f t="shared" si="129"/>
        <v>1067.5378894515718</v>
      </c>
      <c r="F252" s="96">
        <f t="shared" si="130"/>
        <v>2357.7205682693148</v>
      </c>
      <c r="G252" s="97">
        <f t="shared" si="127"/>
        <v>254918.91078955951</v>
      </c>
    </row>
    <row r="253" spans="1:7" x14ac:dyDescent="0.25">
      <c r="B253" s="89"/>
      <c r="C253" s="98"/>
      <c r="D253" s="97">
        <f t="shared" ref="D253:E253" si="131">SUM(D241:D252)</f>
        <v>15133.705756942598</v>
      </c>
      <c r="E253" s="97">
        <f t="shared" si="131"/>
        <v>13158.941062289179</v>
      </c>
    </row>
    <row r="254" spans="1:7" x14ac:dyDescent="0.25">
      <c r="B254" s="89"/>
    </row>
    <row r="255" spans="1:7" x14ac:dyDescent="0.25">
      <c r="A255" s="91" t="s">
        <v>113</v>
      </c>
      <c r="B255" s="89">
        <v>2030</v>
      </c>
      <c r="C255" s="96">
        <f t="shared" ref="C255" si="132">+G252</f>
        <v>254918.91078955951</v>
      </c>
      <c r="D255" s="96">
        <f t="shared" ref="D255:D266" si="133">+F255-E255</f>
        <v>1295.5584399794834</v>
      </c>
      <c r="E255" s="96">
        <f>+C255*$J$5</f>
        <v>1062.1621282898313</v>
      </c>
      <c r="F255" s="96">
        <f t="shared" ref="F255" si="134">+F252</f>
        <v>2357.7205682693148</v>
      </c>
      <c r="G255" s="96">
        <f t="shared" ref="G255:G266" si="135">+C255-D255</f>
        <v>253623.35234958003</v>
      </c>
    </row>
    <row r="256" spans="1:7" x14ac:dyDescent="0.25">
      <c r="A256" s="91" t="s">
        <v>114</v>
      </c>
      <c r="B256" s="89">
        <v>2030</v>
      </c>
      <c r="C256" s="96">
        <f t="shared" ref="C256:C266" si="136">+G255</f>
        <v>253623.35234958003</v>
      </c>
      <c r="D256" s="96">
        <f t="shared" si="133"/>
        <v>1300.9566001460646</v>
      </c>
      <c r="E256" s="96">
        <f t="shared" ref="E256:E266" si="137">+C256*$J$5</f>
        <v>1056.7639681232502</v>
      </c>
      <c r="F256" s="96">
        <f t="shared" ref="F256:F266" si="138">+F255</f>
        <v>2357.7205682693148</v>
      </c>
      <c r="G256" s="96">
        <f t="shared" si="135"/>
        <v>252322.39574943396</v>
      </c>
    </row>
    <row r="257" spans="1:7" x14ac:dyDescent="0.25">
      <c r="A257" s="91" t="s">
        <v>115</v>
      </c>
      <c r="B257" s="89">
        <v>2030</v>
      </c>
      <c r="C257" s="96">
        <f t="shared" si="136"/>
        <v>252322.39574943396</v>
      </c>
      <c r="D257" s="96">
        <f t="shared" si="133"/>
        <v>1306.3772526466732</v>
      </c>
      <c r="E257" s="96">
        <f t="shared" si="137"/>
        <v>1051.3433156226415</v>
      </c>
      <c r="F257" s="96">
        <f t="shared" si="138"/>
        <v>2357.7205682693148</v>
      </c>
      <c r="G257" s="96">
        <f t="shared" si="135"/>
        <v>251016.01849678729</v>
      </c>
    </row>
    <row r="258" spans="1:7" x14ac:dyDescent="0.25">
      <c r="A258" s="91" t="s">
        <v>116</v>
      </c>
      <c r="B258" s="89">
        <v>2030</v>
      </c>
      <c r="C258" s="96">
        <f t="shared" si="136"/>
        <v>251016.01849678729</v>
      </c>
      <c r="D258" s="96">
        <f t="shared" si="133"/>
        <v>1311.8204911993678</v>
      </c>
      <c r="E258" s="96">
        <f t="shared" si="137"/>
        <v>1045.900077069947</v>
      </c>
      <c r="F258" s="96">
        <f t="shared" si="138"/>
        <v>2357.7205682693148</v>
      </c>
      <c r="G258" s="96">
        <f t="shared" si="135"/>
        <v>249704.19800558791</v>
      </c>
    </row>
    <row r="259" spans="1:7" x14ac:dyDescent="0.25">
      <c r="A259" s="91" t="s">
        <v>117</v>
      </c>
      <c r="B259" s="89">
        <v>2030</v>
      </c>
      <c r="C259" s="96">
        <f t="shared" si="136"/>
        <v>249704.19800558791</v>
      </c>
      <c r="D259" s="96">
        <f t="shared" si="133"/>
        <v>1317.2864099126984</v>
      </c>
      <c r="E259" s="96">
        <f t="shared" si="137"/>
        <v>1040.4341583566163</v>
      </c>
      <c r="F259" s="96">
        <f t="shared" si="138"/>
        <v>2357.7205682693148</v>
      </c>
      <c r="G259" s="96">
        <f t="shared" si="135"/>
        <v>248386.91159567522</v>
      </c>
    </row>
    <row r="260" spans="1:7" x14ac:dyDescent="0.25">
      <c r="A260" s="91" t="s">
        <v>118</v>
      </c>
      <c r="B260" s="89">
        <v>2030</v>
      </c>
      <c r="C260" s="96">
        <f t="shared" si="136"/>
        <v>248386.91159567522</v>
      </c>
      <c r="D260" s="96">
        <f t="shared" si="133"/>
        <v>1322.7751032873348</v>
      </c>
      <c r="E260" s="96">
        <f t="shared" si="137"/>
        <v>1034.94546498198</v>
      </c>
      <c r="F260" s="96">
        <f t="shared" si="138"/>
        <v>2357.7205682693148</v>
      </c>
      <c r="G260" s="96">
        <f t="shared" si="135"/>
        <v>247064.13649238789</v>
      </c>
    </row>
    <row r="261" spans="1:7" x14ac:dyDescent="0.25">
      <c r="A261" s="91" t="s">
        <v>119</v>
      </c>
      <c r="B261" s="89">
        <v>2030</v>
      </c>
      <c r="C261" s="96">
        <f t="shared" si="136"/>
        <v>247064.13649238789</v>
      </c>
      <c r="D261" s="96">
        <f t="shared" si="133"/>
        <v>1328.2866662176987</v>
      </c>
      <c r="E261" s="96">
        <f t="shared" si="137"/>
        <v>1029.4339020516161</v>
      </c>
      <c r="F261" s="96">
        <f t="shared" si="138"/>
        <v>2357.7205682693148</v>
      </c>
      <c r="G261" s="96">
        <f t="shared" si="135"/>
        <v>245735.84982617019</v>
      </c>
    </row>
    <row r="262" spans="1:7" x14ac:dyDescent="0.25">
      <c r="A262" s="91" t="s">
        <v>120</v>
      </c>
      <c r="B262" s="89">
        <v>2030</v>
      </c>
      <c r="C262" s="96">
        <f t="shared" si="136"/>
        <v>245735.84982617019</v>
      </c>
      <c r="D262" s="96">
        <f t="shared" si="133"/>
        <v>1333.8211939936057</v>
      </c>
      <c r="E262" s="96">
        <f t="shared" si="137"/>
        <v>1023.8993742757091</v>
      </c>
      <c r="F262" s="96">
        <f t="shared" si="138"/>
        <v>2357.7205682693148</v>
      </c>
      <c r="G262" s="96">
        <f t="shared" si="135"/>
        <v>244402.02863217657</v>
      </c>
    </row>
    <row r="263" spans="1:7" x14ac:dyDescent="0.25">
      <c r="A263" s="91" t="s">
        <v>121</v>
      </c>
      <c r="B263" s="89">
        <v>2030</v>
      </c>
      <c r="C263" s="96">
        <f t="shared" si="136"/>
        <v>244402.02863217657</v>
      </c>
      <c r="D263" s="96">
        <f t="shared" si="133"/>
        <v>1339.3787823019125</v>
      </c>
      <c r="E263" s="96">
        <f t="shared" si="137"/>
        <v>1018.3417859674024</v>
      </c>
      <c r="F263" s="96">
        <f t="shared" si="138"/>
        <v>2357.7205682693148</v>
      </c>
      <c r="G263" s="96">
        <f t="shared" si="135"/>
        <v>243062.64984987467</v>
      </c>
    </row>
    <row r="264" spans="1:7" x14ac:dyDescent="0.25">
      <c r="A264" s="91" t="s">
        <v>122</v>
      </c>
      <c r="B264" s="89">
        <v>2030</v>
      </c>
      <c r="C264" s="96">
        <f t="shared" si="136"/>
        <v>243062.64984987467</v>
      </c>
      <c r="D264" s="96">
        <f t="shared" si="133"/>
        <v>1344.9595272281704</v>
      </c>
      <c r="E264" s="96">
        <f t="shared" si="137"/>
        <v>1012.7610410411444</v>
      </c>
      <c r="F264" s="96">
        <f t="shared" si="138"/>
        <v>2357.7205682693148</v>
      </c>
      <c r="G264" s="96">
        <f t="shared" si="135"/>
        <v>241717.69032264649</v>
      </c>
    </row>
    <row r="265" spans="1:7" x14ac:dyDescent="0.25">
      <c r="A265" s="91" t="s">
        <v>123</v>
      </c>
      <c r="B265" s="89">
        <v>2030</v>
      </c>
      <c r="C265" s="96">
        <f t="shared" si="136"/>
        <v>241717.69032264649</v>
      </c>
      <c r="D265" s="96">
        <f t="shared" si="133"/>
        <v>1350.5635252582879</v>
      </c>
      <c r="E265" s="96">
        <f t="shared" si="137"/>
        <v>1007.157043011027</v>
      </c>
      <c r="F265" s="96">
        <f t="shared" si="138"/>
        <v>2357.7205682693148</v>
      </c>
      <c r="G265" s="96">
        <f t="shared" si="135"/>
        <v>240367.12679738819</v>
      </c>
    </row>
    <row r="266" spans="1:7" x14ac:dyDescent="0.25">
      <c r="A266" s="91" t="s">
        <v>124</v>
      </c>
      <c r="B266" s="89">
        <v>2030</v>
      </c>
      <c r="C266" s="96">
        <f t="shared" si="136"/>
        <v>240367.12679738819</v>
      </c>
      <c r="D266" s="96">
        <f t="shared" si="133"/>
        <v>1356.1908732801971</v>
      </c>
      <c r="E266" s="96">
        <f t="shared" si="137"/>
        <v>1001.5296949891175</v>
      </c>
      <c r="F266" s="96">
        <f t="shared" si="138"/>
        <v>2357.7205682693148</v>
      </c>
      <c r="G266" s="97">
        <f t="shared" si="135"/>
        <v>239010.93592410799</v>
      </c>
    </row>
    <row r="267" spans="1:7" x14ac:dyDescent="0.25">
      <c r="B267" s="89"/>
      <c r="C267" s="97"/>
      <c r="D267" s="97">
        <f t="shared" ref="D267:E267" si="139">SUM(D255:D266)</f>
        <v>15907.974865451491</v>
      </c>
      <c r="E267" s="97">
        <f t="shared" si="139"/>
        <v>12384.671953780286</v>
      </c>
      <c r="F267" s="96"/>
      <c r="G267" s="96"/>
    </row>
    <row r="268" spans="1:7" x14ac:dyDescent="0.25">
      <c r="B268" s="89"/>
      <c r="C268" s="96"/>
      <c r="D268" s="96"/>
      <c r="E268" s="96"/>
      <c r="F268" s="96"/>
      <c r="G268" s="96"/>
    </row>
    <row r="269" spans="1:7" x14ac:dyDescent="0.25">
      <c r="A269" s="91" t="s">
        <v>113</v>
      </c>
      <c r="B269" s="89">
        <v>2031</v>
      </c>
      <c r="C269" s="96">
        <f t="shared" ref="C269" si="140">+G266</f>
        <v>239010.93592410799</v>
      </c>
      <c r="D269" s="96">
        <f t="shared" ref="D269:D280" si="141">+F269-E269</f>
        <v>1361.8416685855314</v>
      </c>
      <c r="E269" s="96">
        <f>+C269*$J$5</f>
        <v>995.87889968378329</v>
      </c>
      <c r="F269" s="96">
        <f t="shared" ref="F269" si="142">+F266</f>
        <v>2357.7205682693148</v>
      </c>
      <c r="G269" s="96">
        <f t="shared" ref="G269:G280" si="143">+C269-D269</f>
        <v>237649.09425552248</v>
      </c>
    </row>
    <row r="270" spans="1:7" x14ac:dyDescent="0.25">
      <c r="A270" s="91" t="s">
        <v>114</v>
      </c>
      <c r="B270" s="89">
        <v>2031</v>
      </c>
      <c r="C270" s="96">
        <f t="shared" ref="C270:C280" si="144">+G269</f>
        <v>237649.09425552248</v>
      </c>
      <c r="D270" s="96">
        <f t="shared" si="141"/>
        <v>1367.5160088713046</v>
      </c>
      <c r="E270" s="96">
        <f t="shared" ref="E270:E280" si="145">+C270*$J$5</f>
        <v>990.20455939801025</v>
      </c>
      <c r="F270" s="96">
        <f t="shared" ref="F270:F280" si="146">+F269</f>
        <v>2357.7205682693148</v>
      </c>
      <c r="G270" s="96">
        <f t="shared" si="143"/>
        <v>236281.57824665116</v>
      </c>
    </row>
    <row r="271" spans="1:7" x14ac:dyDescent="0.25">
      <c r="A271" s="91" t="s">
        <v>115</v>
      </c>
      <c r="B271" s="89">
        <v>2031</v>
      </c>
      <c r="C271" s="96">
        <f t="shared" si="144"/>
        <v>236281.57824665116</v>
      </c>
      <c r="D271" s="96">
        <f t="shared" si="141"/>
        <v>1373.2139922416018</v>
      </c>
      <c r="E271" s="96">
        <f t="shared" si="145"/>
        <v>984.50657602771309</v>
      </c>
      <c r="F271" s="96">
        <f t="shared" si="146"/>
        <v>2357.7205682693148</v>
      </c>
      <c r="G271" s="96">
        <f t="shared" si="143"/>
        <v>234908.36425440956</v>
      </c>
    </row>
    <row r="272" spans="1:7" x14ac:dyDescent="0.25">
      <c r="A272" s="91" t="s">
        <v>116</v>
      </c>
      <c r="B272" s="89">
        <v>2031</v>
      </c>
      <c r="C272" s="96">
        <f t="shared" si="144"/>
        <v>234908.36425440956</v>
      </c>
      <c r="D272" s="96">
        <f t="shared" si="141"/>
        <v>1378.935717209275</v>
      </c>
      <c r="E272" s="96">
        <f t="shared" si="145"/>
        <v>978.78485106003984</v>
      </c>
      <c r="F272" s="96">
        <f t="shared" si="146"/>
        <v>2357.7205682693148</v>
      </c>
      <c r="G272" s="96">
        <f t="shared" si="143"/>
        <v>233529.42853720029</v>
      </c>
    </row>
    <row r="273" spans="1:7" x14ac:dyDescent="0.25">
      <c r="A273" s="91" t="s">
        <v>117</v>
      </c>
      <c r="B273" s="89">
        <v>2031</v>
      </c>
      <c r="C273" s="96">
        <f t="shared" si="144"/>
        <v>233529.42853720029</v>
      </c>
      <c r="D273" s="96">
        <f t="shared" si="141"/>
        <v>1384.681282697647</v>
      </c>
      <c r="E273" s="96">
        <f t="shared" si="145"/>
        <v>973.03928557166785</v>
      </c>
      <c r="F273" s="96">
        <f t="shared" si="146"/>
        <v>2357.7205682693148</v>
      </c>
      <c r="G273" s="96">
        <f t="shared" si="143"/>
        <v>232144.74725450264</v>
      </c>
    </row>
    <row r="274" spans="1:7" x14ac:dyDescent="0.25">
      <c r="A274" s="91" t="s">
        <v>118</v>
      </c>
      <c r="B274" s="89">
        <v>2031</v>
      </c>
      <c r="C274" s="96">
        <f t="shared" si="144"/>
        <v>232144.74725450264</v>
      </c>
      <c r="D274" s="96">
        <f t="shared" si="141"/>
        <v>1390.4507880422204</v>
      </c>
      <c r="E274" s="96">
        <f t="shared" si="145"/>
        <v>967.26978022709432</v>
      </c>
      <c r="F274" s="96">
        <f t="shared" si="146"/>
        <v>2357.7205682693148</v>
      </c>
      <c r="G274" s="96">
        <f t="shared" si="143"/>
        <v>230754.29646646042</v>
      </c>
    </row>
    <row r="275" spans="1:7" x14ac:dyDescent="0.25">
      <c r="A275" s="91" t="s">
        <v>119</v>
      </c>
      <c r="B275" s="89">
        <v>2031</v>
      </c>
      <c r="C275" s="96">
        <f t="shared" si="144"/>
        <v>230754.29646646042</v>
      </c>
      <c r="D275" s="96">
        <f t="shared" si="141"/>
        <v>1396.2443329923963</v>
      </c>
      <c r="E275" s="96">
        <f t="shared" si="145"/>
        <v>961.47623527691837</v>
      </c>
      <c r="F275" s="96">
        <f t="shared" si="146"/>
        <v>2357.7205682693148</v>
      </c>
      <c r="G275" s="96">
        <f t="shared" si="143"/>
        <v>229358.05213346804</v>
      </c>
    </row>
    <row r="276" spans="1:7" x14ac:dyDescent="0.25">
      <c r="A276" s="91" t="s">
        <v>120</v>
      </c>
      <c r="B276" s="89">
        <v>2031</v>
      </c>
      <c r="C276" s="96">
        <f t="shared" si="144"/>
        <v>229358.05213346804</v>
      </c>
      <c r="D276" s="96">
        <f t="shared" si="141"/>
        <v>1402.062017713198</v>
      </c>
      <c r="E276" s="96">
        <f t="shared" si="145"/>
        <v>955.65855055611678</v>
      </c>
      <c r="F276" s="96">
        <f t="shared" si="146"/>
        <v>2357.7205682693148</v>
      </c>
      <c r="G276" s="96">
        <f t="shared" si="143"/>
        <v>227955.99011575483</v>
      </c>
    </row>
    <row r="277" spans="1:7" x14ac:dyDescent="0.25">
      <c r="A277" s="91" t="s">
        <v>121</v>
      </c>
      <c r="B277" s="89">
        <v>2031</v>
      </c>
      <c r="C277" s="96">
        <f t="shared" si="144"/>
        <v>227955.99011575483</v>
      </c>
      <c r="D277" s="96">
        <f t="shared" si="141"/>
        <v>1407.903942787003</v>
      </c>
      <c r="E277" s="96">
        <f t="shared" si="145"/>
        <v>949.81662548231179</v>
      </c>
      <c r="F277" s="96">
        <f t="shared" si="146"/>
        <v>2357.7205682693148</v>
      </c>
      <c r="G277" s="96">
        <f t="shared" si="143"/>
        <v>226548.08617296783</v>
      </c>
    </row>
    <row r="278" spans="1:7" x14ac:dyDescent="0.25">
      <c r="A278" s="91" t="s">
        <v>122</v>
      </c>
      <c r="B278" s="89">
        <v>2031</v>
      </c>
      <c r="C278" s="96">
        <f t="shared" si="144"/>
        <v>226548.08617296783</v>
      </c>
      <c r="D278" s="96">
        <f t="shared" si="141"/>
        <v>1413.7702092152822</v>
      </c>
      <c r="E278" s="96">
        <f t="shared" si="145"/>
        <v>943.95035905403256</v>
      </c>
      <c r="F278" s="96">
        <f t="shared" si="146"/>
        <v>2357.7205682693148</v>
      </c>
      <c r="G278" s="96">
        <f t="shared" si="143"/>
        <v>225134.31596375254</v>
      </c>
    </row>
    <row r="279" spans="1:7" x14ac:dyDescent="0.25">
      <c r="A279" s="91" t="s">
        <v>123</v>
      </c>
      <c r="B279" s="89">
        <v>2031</v>
      </c>
      <c r="C279" s="96">
        <f t="shared" si="144"/>
        <v>225134.31596375254</v>
      </c>
      <c r="D279" s="96">
        <f t="shared" si="141"/>
        <v>1419.6609184203458</v>
      </c>
      <c r="E279" s="96">
        <f t="shared" si="145"/>
        <v>938.05964984896889</v>
      </c>
      <c r="F279" s="96">
        <f t="shared" si="146"/>
        <v>2357.7205682693148</v>
      </c>
      <c r="G279" s="96">
        <f t="shared" si="143"/>
        <v>223714.65504533218</v>
      </c>
    </row>
    <row r="280" spans="1:7" x14ac:dyDescent="0.25">
      <c r="A280" s="91" t="s">
        <v>124</v>
      </c>
      <c r="B280" s="89">
        <v>2031</v>
      </c>
      <c r="C280" s="96">
        <f t="shared" si="144"/>
        <v>223714.65504533218</v>
      </c>
      <c r="D280" s="96">
        <f t="shared" si="141"/>
        <v>1425.5761722470975</v>
      </c>
      <c r="E280" s="96">
        <f t="shared" si="145"/>
        <v>932.14439602221739</v>
      </c>
      <c r="F280" s="96">
        <f t="shared" si="146"/>
        <v>2357.7205682693148</v>
      </c>
      <c r="G280" s="97">
        <f t="shared" si="143"/>
        <v>222289.07887308509</v>
      </c>
    </row>
    <row r="281" spans="1:7" x14ac:dyDescent="0.25">
      <c r="B281" s="89"/>
      <c r="C281" s="98"/>
      <c r="D281" s="97">
        <f t="shared" ref="D281:E281" si="147">SUM(D269:D280)</f>
        <v>16721.857051022907</v>
      </c>
      <c r="E281" s="97">
        <f t="shared" si="147"/>
        <v>11570.789768208873</v>
      </c>
    </row>
    <row r="282" spans="1:7" x14ac:dyDescent="0.25">
      <c r="B282" s="89"/>
    </row>
    <row r="283" spans="1:7" x14ac:dyDescent="0.25">
      <c r="A283" s="91" t="s">
        <v>113</v>
      </c>
      <c r="B283" s="89">
        <v>2032</v>
      </c>
      <c r="C283" s="96">
        <f t="shared" ref="C283" si="148">+G280</f>
        <v>222289.07887308509</v>
      </c>
      <c r="D283" s="96">
        <f t="shared" ref="D283:D294" si="149">+F283-E283</f>
        <v>1431.5160729647937</v>
      </c>
      <c r="E283" s="96">
        <f>+C283*$J$5</f>
        <v>926.20449530452117</v>
      </c>
      <c r="F283" s="96">
        <f t="shared" ref="F283" si="150">+F280</f>
        <v>2357.7205682693148</v>
      </c>
      <c r="G283" s="96">
        <f t="shared" ref="G283:G294" si="151">+C283-D283</f>
        <v>220857.5628001203</v>
      </c>
    </row>
    <row r="284" spans="1:7" x14ac:dyDescent="0.25">
      <c r="A284" s="91" t="s">
        <v>114</v>
      </c>
      <c r="B284" s="89">
        <v>2032</v>
      </c>
      <c r="C284" s="96">
        <f t="shared" ref="C284:C294" si="152">+G283</f>
        <v>220857.5628001203</v>
      </c>
      <c r="D284" s="96">
        <f t="shared" si="149"/>
        <v>1437.4807232688136</v>
      </c>
      <c r="E284" s="96">
        <f t="shared" ref="E284:E294" si="153">+C284*$J$5</f>
        <v>920.23984500050119</v>
      </c>
      <c r="F284" s="96">
        <f t="shared" ref="F284:F294" si="154">+F283</f>
        <v>2357.7205682693148</v>
      </c>
      <c r="G284" s="96">
        <f t="shared" si="151"/>
        <v>219420.08207685148</v>
      </c>
    </row>
    <row r="285" spans="1:7" x14ac:dyDescent="0.25">
      <c r="A285" s="91" t="s">
        <v>115</v>
      </c>
      <c r="B285" s="89">
        <v>2032</v>
      </c>
      <c r="C285" s="96">
        <f t="shared" si="152"/>
        <v>219420.08207685148</v>
      </c>
      <c r="D285" s="96">
        <f t="shared" si="149"/>
        <v>1443.4702262824335</v>
      </c>
      <c r="E285" s="96">
        <f t="shared" si="153"/>
        <v>914.25034198688115</v>
      </c>
      <c r="F285" s="96">
        <f t="shared" si="154"/>
        <v>2357.7205682693148</v>
      </c>
      <c r="G285" s="96">
        <f t="shared" si="151"/>
        <v>217976.61185056905</v>
      </c>
    </row>
    <row r="286" spans="1:7" x14ac:dyDescent="0.25">
      <c r="A286" s="91" t="s">
        <v>116</v>
      </c>
      <c r="B286" s="89">
        <v>2032</v>
      </c>
      <c r="C286" s="96">
        <f t="shared" si="152"/>
        <v>217976.61185056905</v>
      </c>
      <c r="D286" s="96">
        <f t="shared" si="149"/>
        <v>1449.4846855586104</v>
      </c>
      <c r="E286" s="96">
        <f t="shared" si="153"/>
        <v>908.23588271070435</v>
      </c>
      <c r="F286" s="96">
        <f t="shared" si="154"/>
        <v>2357.7205682693148</v>
      </c>
      <c r="G286" s="96">
        <f t="shared" si="151"/>
        <v>216527.12716501043</v>
      </c>
    </row>
    <row r="287" spans="1:7" x14ac:dyDescent="0.25">
      <c r="A287" s="91" t="s">
        <v>117</v>
      </c>
      <c r="B287" s="89">
        <v>2032</v>
      </c>
      <c r="C287" s="96">
        <f t="shared" si="152"/>
        <v>216527.12716501043</v>
      </c>
      <c r="D287" s="96">
        <f t="shared" si="149"/>
        <v>1455.5242050817715</v>
      </c>
      <c r="E287" s="96">
        <f t="shared" si="153"/>
        <v>902.1963631875434</v>
      </c>
      <c r="F287" s="96">
        <f t="shared" si="154"/>
        <v>2357.7205682693148</v>
      </c>
      <c r="G287" s="96">
        <f t="shared" si="151"/>
        <v>215071.60295992866</v>
      </c>
    </row>
    <row r="288" spans="1:7" x14ac:dyDescent="0.25">
      <c r="A288" s="91" t="s">
        <v>118</v>
      </c>
      <c r="B288" s="89">
        <v>2032</v>
      </c>
      <c r="C288" s="96">
        <f t="shared" si="152"/>
        <v>215071.60295992866</v>
      </c>
      <c r="D288" s="96">
        <f t="shared" si="149"/>
        <v>1461.5888892696121</v>
      </c>
      <c r="E288" s="96">
        <f t="shared" si="153"/>
        <v>896.13167899970267</v>
      </c>
      <c r="F288" s="96">
        <f t="shared" si="154"/>
        <v>2357.7205682693148</v>
      </c>
      <c r="G288" s="96">
        <f t="shared" si="151"/>
        <v>213610.01407065903</v>
      </c>
    </row>
    <row r="289" spans="1:7" x14ac:dyDescent="0.25">
      <c r="A289" s="91" t="s">
        <v>119</v>
      </c>
      <c r="B289" s="89">
        <v>2032</v>
      </c>
      <c r="C289" s="96">
        <f t="shared" si="152"/>
        <v>213610.01407065903</v>
      </c>
      <c r="D289" s="96">
        <f t="shared" si="149"/>
        <v>1467.6788429749022</v>
      </c>
      <c r="E289" s="96">
        <f t="shared" si="153"/>
        <v>890.04172529441257</v>
      </c>
      <c r="F289" s="96">
        <f t="shared" si="154"/>
        <v>2357.7205682693148</v>
      </c>
      <c r="G289" s="96">
        <f t="shared" si="151"/>
        <v>212142.33522768412</v>
      </c>
    </row>
    <row r="290" spans="1:7" x14ac:dyDescent="0.25">
      <c r="A290" s="91" t="s">
        <v>120</v>
      </c>
      <c r="B290" s="89">
        <v>2032</v>
      </c>
      <c r="C290" s="96">
        <f t="shared" si="152"/>
        <v>212142.33522768412</v>
      </c>
      <c r="D290" s="96">
        <f t="shared" si="149"/>
        <v>1473.7941714872977</v>
      </c>
      <c r="E290" s="96">
        <f t="shared" si="153"/>
        <v>883.92639678201715</v>
      </c>
      <c r="F290" s="96">
        <f t="shared" si="154"/>
        <v>2357.7205682693148</v>
      </c>
      <c r="G290" s="96">
        <f t="shared" si="151"/>
        <v>210668.54105619682</v>
      </c>
    </row>
    <row r="291" spans="1:7" x14ac:dyDescent="0.25">
      <c r="A291" s="91" t="s">
        <v>121</v>
      </c>
      <c r="B291" s="89">
        <v>2032</v>
      </c>
      <c r="C291" s="96">
        <f t="shared" si="152"/>
        <v>210668.54105619682</v>
      </c>
      <c r="D291" s="96">
        <f t="shared" si="149"/>
        <v>1479.9349805351612</v>
      </c>
      <c r="E291" s="96">
        <f t="shared" si="153"/>
        <v>877.78558773415341</v>
      </c>
      <c r="F291" s="96">
        <f t="shared" si="154"/>
        <v>2357.7205682693148</v>
      </c>
      <c r="G291" s="96">
        <f t="shared" si="151"/>
        <v>209188.60607566166</v>
      </c>
    </row>
    <row r="292" spans="1:7" x14ac:dyDescent="0.25">
      <c r="A292" s="91" t="s">
        <v>122</v>
      </c>
      <c r="B292" s="89">
        <v>2032</v>
      </c>
      <c r="C292" s="96">
        <f t="shared" si="152"/>
        <v>209188.60607566166</v>
      </c>
      <c r="D292" s="96">
        <f t="shared" si="149"/>
        <v>1486.1013762873913</v>
      </c>
      <c r="E292" s="96">
        <f t="shared" si="153"/>
        <v>871.61919198192356</v>
      </c>
      <c r="F292" s="96">
        <f t="shared" si="154"/>
        <v>2357.7205682693148</v>
      </c>
      <c r="G292" s="96">
        <f t="shared" si="151"/>
        <v>207702.50469937429</v>
      </c>
    </row>
    <row r="293" spans="1:7" x14ac:dyDescent="0.25">
      <c r="A293" s="91" t="s">
        <v>123</v>
      </c>
      <c r="B293" s="89">
        <v>2032</v>
      </c>
      <c r="C293" s="96">
        <f t="shared" si="152"/>
        <v>207702.50469937429</v>
      </c>
      <c r="D293" s="96">
        <f t="shared" si="149"/>
        <v>1492.2934653552552</v>
      </c>
      <c r="E293" s="96">
        <f t="shared" si="153"/>
        <v>865.42710291405956</v>
      </c>
      <c r="F293" s="96">
        <f t="shared" si="154"/>
        <v>2357.7205682693148</v>
      </c>
      <c r="G293" s="96">
        <f t="shared" si="151"/>
        <v>206210.21123401902</v>
      </c>
    </row>
    <row r="294" spans="1:7" x14ac:dyDescent="0.25">
      <c r="A294" s="91" t="s">
        <v>124</v>
      </c>
      <c r="B294" s="89">
        <v>2032</v>
      </c>
      <c r="C294" s="96">
        <f t="shared" si="152"/>
        <v>206210.21123401902</v>
      </c>
      <c r="D294" s="96">
        <f t="shared" si="149"/>
        <v>1498.5113547942356</v>
      </c>
      <c r="E294" s="96">
        <f t="shared" si="153"/>
        <v>859.2092134750792</v>
      </c>
      <c r="F294" s="96">
        <f t="shared" si="154"/>
        <v>2357.7205682693148</v>
      </c>
      <c r="G294" s="97">
        <f t="shared" si="151"/>
        <v>204711.69987922479</v>
      </c>
    </row>
    <row r="295" spans="1:7" x14ac:dyDescent="0.25">
      <c r="B295" s="89"/>
      <c r="C295" s="97"/>
      <c r="D295" s="97">
        <f t="shared" ref="D295:E295" si="155">SUM(D283:D294)</f>
        <v>17577.378993860279</v>
      </c>
      <c r="E295" s="97">
        <f t="shared" si="155"/>
        <v>10715.267825371498</v>
      </c>
      <c r="F295" s="96"/>
      <c r="G295" s="96"/>
    </row>
    <row r="296" spans="1:7" x14ac:dyDescent="0.25">
      <c r="B296" s="89"/>
      <c r="C296" s="96"/>
      <c r="D296" s="96"/>
      <c r="E296" s="96"/>
      <c r="F296" s="96"/>
      <c r="G296" s="96"/>
    </row>
    <row r="297" spans="1:7" x14ac:dyDescent="0.25">
      <c r="A297" s="91" t="s">
        <v>113</v>
      </c>
      <c r="B297" s="89">
        <v>2033</v>
      </c>
      <c r="C297" s="96">
        <f t="shared" ref="C297" si="156">+G294</f>
        <v>204711.69987922479</v>
      </c>
      <c r="D297" s="96">
        <f t="shared" ref="D297:D308" si="157">+F297-E297</f>
        <v>1504.7551521058781</v>
      </c>
      <c r="E297" s="96">
        <f>+C297*$J$5</f>
        <v>852.96541616343666</v>
      </c>
      <c r="F297" s="96">
        <f t="shared" ref="F297" si="158">+F294</f>
        <v>2357.7205682693148</v>
      </c>
      <c r="G297" s="96">
        <f t="shared" ref="G297:G308" si="159">+C297-D297</f>
        <v>203206.94472711891</v>
      </c>
    </row>
    <row r="298" spans="1:7" x14ac:dyDescent="0.25">
      <c r="A298" s="91" t="s">
        <v>114</v>
      </c>
      <c r="B298" s="89">
        <v>2033</v>
      </c>
      <c r="C298" s="96">
        <f t="shared" ref="C298:C308" si="160">+G297</f>
        <v>203206.94472711891</v>
      </c>
      <c r="D298" s="96">
        <f t="shared" si="157"/>
        <v>1511.0249652396526</v>
      </c>
      <c r="E298" s="96">
        <f t="shared" ref="E298:E308" si="161">+C298*$J$5</f>
        <v>846.69560302966215</v>
      </c>
      <c r="F298" s="96">
        <f t="shared" ref="F298:F308" si="162">+F297</f>
        <v>2357.7205682693148</v>
      </c>
      <c r="G298" s="96">
        <f t="shared" si="159"/>
        <v>201695.91976187925</v>
      </c>
    </row>
    <row r="299" spans="1:7" x14ac:dyDescent="0.25">
      <c r="A299" s="91" t="s">
        <v>115</v>
      </c>
      <c r="B299" s="89">
        <v>2033</v>
      </c>
      <c r="C299" s="96">
        <f t="shared" si="160"/>
        <v>201695.91976187925</v>
      </c>
      <c r="D299" s="96">
        <f t="shared" si="157"/>
        <v>1517.3209025948179</v>
      </c>
      <c r="E299" s="96">
        <f t="shared" si="161"/>
        <v>840.39966567449687</v>
      </c>
      <c r="F299" s="96">
        <f t="shared" si="162"/>
        <v>2357.7205682693148</v>
      </c>
      <c r="G299" s="96">
        <f t="shared" si="159"/>
        <v>200178.59885928442</v>
      </c>
    </row>
    <row r="300" spans="1:7" x14ac:dyDescent="0.25">
      <c r="A300" s="91" t="s">
        <v>116</v>
      </c>
      <c r="B300" s="89">
        <v>2033</v>
      </c>
      <c r="C300" s="96">
        <f t="shared" si="160"/>
        <v>200178.59885928442</v>
      </c>
      <c r="D300" s="96">
        <f t="shared" si="157"/>
        <v>1523.6430730222964</v>
      </c>
      <c r="E300" s="96">
        <f t="shared" si="161"/>
        <v>834.07749524701842</v>
      </c>
      <c r="F300" s="96">
        <f t="shared" si="162"/>
        <v>2357.7205682693148</v>
      </c>
      <c r="G300" s="96">
        <f t="shared" si="159"/>
        <v>198654.95578626211</v>
      </c>
    </row>
    <row r="301" spans="1:7" x14ac:dyDescent="0.25">
      <c r="A301" s="91" t="s">
        <v>117</v>
      </c>
      <c r="B301" s="89">
        <v>2033</v>
      </c>
      <c r="C301" s="96">
        <f t="shared" si="160"/>
        <v>198654.95578626211</v>
      </c>
      <c r="D301" s="96">
        <f t="shared" si="157"/>
        <v>1529.9915858265558</v>
      </c>
      <c r="E301" s="96">
        <f t="shared" si="161"/>
        <v>827.72898244275882</v>
      </c>
      <c r="F301" s="96">
        <f t="shared" si="162"/>
        <v>2357.7205682693148</v>
      </c>
      <c r="G301" s="96">
        <f t="shared" si="159"/>
        <v>197124.96420043556</v>
      </c>
    </row>
    <row r="302" spans="1:7" x14ac:dyDescent="0.25">
      <c r="A302" s="91" t="s">
        <v>118</v>
      </c>
      <c r="B302" s="89">
        <v>2033</v>
      </c>
      <c r="C302" s="96">
        <f t="shared" si="160"/>
        <v>197124.96420043556</v>
      </c>
      <c r="D302" s="96">
        <f t="shared" si="157"/>
        <v>1536.3665507675</v>
      </c>
      <c r="E302" s="96">
        <f t="shared" si="161"/>
        <v>821.35401750181484</v>
      </c>
      <c r="F302" s="96">
        <f t="shared" si="162"/>
        <v>2357.7205682693148</v>
      </c>
      <c r="G302" s="96">
        <f t="shared" si="159"/>
        <v>195588.59764966805</v>
      </c>
    </row>
    <row r="303" spans="1:7" x14ac:dyDescent="0.25">
      <c r="A303" s="91" t="s">
        <v>119</v>
      </c>
      <c r="B303" s="89">
        <v>2033</v>
      </c>
      <c r="C303" s="96">
        <f t="shared" si="160"/>
        <v>195588.59764966805</v>
      </c>
      <c r="D303" s="96">
        <f t="shared" si="157"/>
        <v>1542.7680780623646</v>
      </c>
      <c r="E303" s="96">
        <f t="shared" si="161"/>
        <v>814.95249020695019</v>
      </c>
      <c r="F303" s="96">
        <f t="shared" si="162"/>
        <v>2357.7205682693148</v>
      </c>
      <c r="G303" s="96">
        <f t="shared" si="159"/>
        <v>194045.82957160569</v>
      </c>
    </row>
    <row r="304" spans="1:7" x14ac:dyDescent="0.25">
      <c r="A304" s="91" t="s">
        <v>120</v>
      </c>
      <c r="B304" s="89">
        <v>2033</v>
      </c>
      <c r="C304" s="96">
        <f t="shared" si="160"/>
        <v>194045.82957160569</v>
      </c>
      <c r="D304" s="96">
        <f t="shared" si="157"/>
        <v>1549.1962783876243</v>
      </c>
      <c r="E304" s="96">
        <f t="shared" si="161"/>
        <v>808.52428988169038</v>
      </c>
      <c r="F304" s="96">
        <f t="shared" si="162"/>
        <v>2357.7205682693148</v>
      </c>
      <c r="G304" s="96">
        <f t="shared" si="159"/>
        <v>192496.63329321807</v>
      </c>
    </row>
    <row r="305" spans="1:7" x14ac:dyDescent="0.25">
      <c r="A305" s="91" t="s">
        <v>121</v>
      </c>
      <c r="B305" s="89">
        <v>2033</v>
      </c>
      <c r="C305" s="96">
        <f t="shared" si="160"/>
        <v>192496.63329321807</v>
      </c>
      <c r="D305" s="96">
        <f t="shared" si="157"/>
        <v>1555.6512628809062</v>
      </c>
      <c r="E305" s="96">
        <f t="shared" si="161"/>
        <v>802.06930538840857</v>
      </c>
      <c r="F305" s="96">
        <f t="shared" si="162"/>
        <v>2357.7205682693148</v>
      </c>
      <c r="G305" s="96">
        <f t="shared" si="159"/>
        <v>190940.98203033715</v>
      </c>
    </row>
    <row r="306" spans="1:7" x14ac:dyDescent="0.25">
      <c r="A306" s="91" t="s">
        <v>122</v>
      </c>
      <c r="B306" s="89">
        <v>2033</v>
      </c>
      <c r="C306" s="96">
        <f t="shared" si="160"/>
        <v>190940.98203033715</v>
      </c>
      <c r="D306" s="96">
        <f t="shared" si="157"/>
        <v>1562.1331431429098</v>
      </c>
      <c r="E306" s="96">
        <f t="shared" si="161"/>
        <v>795.58742512640481</v>
      </c>
      <c r="F306" s="96">
        <f t="shared" si="162"/>
        <v>2357.7205682693148</v>
      </c>
      <c r="G306" s="96">
        <f t="shared" si="159"/>
        <v>189378.84888719424</v>
      </c>
    </row>
    <row r="307" spans="1:7" x14ac:dyDescent="0.25">
      <c r="A307" s="91" t="s">
        <v>123</v>
      </c>
      <c r="B307" s="89">
        <v>2033</v>
      </c>
      <c r="C307" s="96">
        <f t="shared" si="160"/>
        <v>189378.84888719424</v>
      </c>
      <c r="D307" s="96">
        <f t="shared" si="157"/>
        <v>1568.6420312393388</v>
      </c>
      <c r="E307" s="96">
        <f t="shared" si="161"/>
        <v>789.07853702997602</v>
      </c>
      <c r="F307" s="96">
        <f t="shared" si="162"/>
        <v>2357.7205682693148</v>
      </c>
      <c r="G307" s="96">
        <f t="shared" si="159"/>
        <v>187810.20685595489</v>
      </c>
    </row>
    <row r="308" spans="1:7" x14ac:dyDescent="0.25">
      <c r="A308" s="91" t="s">
        <v>124</v>
      </c>
      <c r="B308" s="89">
        <v>2033</v>
      </c>
      <c r="C308" s="96">
        <f t="shared" si="160"/>
        <v>187810.20685595489</v>
      </c>
      <c r="D308" s="96">
        <f t="shared" si="157"/>
        <v>1575.178039702836</v>
      </c>
      <c r="E308" s="96">
        <f t="shared" si="161"/>
        <v>782.54252856647872</v>
      </c>
      <c r="F308" s="96">
        <f t="shared" si="162"/>
        <v>2357.7205682693148</v>
      </c>
      <c r="G308" s="97">
        <f t="shared" si="159"/>
        <v>186235.02881625204</v>
      </c>
    </row>
    <row r="309" spans="1:7" x14ac:dyDescent="0.25">
      <c r="B309" s="89"/>
      <c r="C309" s="98"/>
      <c r="D309" s="97">
        <f t="shared" ref="D309:E309" si="163">SUM(D297:D308)</f>
        <v>18476.67106297268</v>
      </c>
      <c r="E309" s="97">
        <f t="shared" si="163"/>
        <v>9815.9757562590967</v>
      </c>
    </row>
    <row r="310" spans="1:7" x14ac:dyDescent="0.25">
      <c r="B310" s="89"/>
    </row>
    <row r="311" spans="1:7" x14ac:dyDescent="0.25">
      <c r="A311" s="91" t="s">
        <v>113</v>
      </c>
      <c r="B311" s="89">
        <v>2034</v>
      </c>
      <c r="C311" s="96">
        <f t="shared" ref="C311" si="164">+G308</f>
        <v>186235.02881625204</v>
      </c>
      <c r="D311" s="96">
        <f t="shared" ref="D311:D322" si="165">+F311-E311</f>
        <v>1581.7412815349312</v>
      </c>
      <c r="E311" s="96">
        <f>+C311*$J$5</f>
        <v>775.97928673438355</v>
      </c>
      <c r="F311" s="96">
        <f t="shared" ref="F311" si="166">+F308</f>
        <v>2357.7205682693148</v>
      </c>
      <c r="G311" s="96">
        <f t="shared" ref="G311:G322" si="167">+C311-D311</f>
        <v>184653.28753471712</v>
      </c>
    </row>
    <row r="312" spans="1:7" x14ac:dyDescent="0.25">
      <c r="A312" s="91" t="s">
        <v>114</v>
      </c>
      <c r="B312" s="89">
        <v>2034</v>
      </c>
      <c r="C312" s="96">
        <f t="shared" ref="C312:C322" si="168">+G311</f>
        <v>184653.28753471712</v>
      </c>
      <c r="D312" s="96">
        <f t="shared" si="165"/>
        <v>1588.3318702079935</v>
      </c>
      <c r="E312" s="96">
        <f t="shared" ref="E312:E322" si="169">+C312*$J$5</f>
        <v>769.38869806132129</v>
      </c>
      <c r="F312" s="96">
        <f t="shared" ref="F312:F322" si="170">+F311</f>
        <v>2357.7205682693148</v>
      </c>
      <c r="G312" s="96">
        <f t="shared" si="167"/>
        <v>183064.95566450912</v>
      </c>
    </row>
    <row r="313" spans="1:7" x14ac:dyDescent="0.25">
      <c r="A313" s="91" t="s">
        <v>115</v>
      </c>
      <c r="B313" s="89">
        <v>2034</v>
      </c>
      <c r="C313" s="96">
        <f t="shared" si="168"/>
        <v>183064.95566450912</v>
      </c>
      <c r="D313" s="96">
        <f t="shared" si="165"/>
        <v>1594.9499196671934</v>
      </c>
      <c r="E313" s="96">
        <f t="shared" si="169"/>
        <v>762.77064860212135</v>
      </c>
      <c r="F313" s="96">
        <f t="shared" si="170"/>
        <v>2357.7205682693148</v>
      </c>
      <c r="G313" s="96">
        <f t="shared" si="167"/>
        <v>181470.00574484194</v>
      </c>
    </row>
    <row r="314" spans="1:7" x14ac:dyDescent="0.25">
      <c r="A314" s="91" t="s">
        <v>116</v>
      </c>
      <c r="B314" s="89">
        <v>2034</v>
      </c>
      <c r="C314" s="96">
        <f t="shared" si="168"/>
        <v>181470.00574484194</v>
      </c>
      <c r="D314" s="96">
        <f t="shared" si="165"/>
        <v>1601.5955443324733</v>
      </c>
      <c r="E314" s="96">
        <f t="shared" si="169"/>
        <v>756.12502393684144</v>
      </c>
      <c r="F314" s="96">
        <f t="shared" si="170"/>
        <v>2357.7205682693148</v>
      </c>
      <c r="G314" s="96">
        <f t="shared" si="167"/>
        <v>179868.41020050948</v>
      </c>
    </row>
    <row r="315" spans="1:7" x14ac:dyDescent="0.25">
      <c r="A315" s="91" t="s">
        <v>117</v>
      </c>
      <c r="B315" s="89">
        <v>2034</v>
      </c>
      <c r="C315" s="96">
        <f t="shared" si="168"/>
        <v>179868.41020050948</v>
      </c>
      <c r="D315" s="96">
        <f t="shared" si="165"/>
        <v>1608.2688591005253</v>
      </c>
      <c r="E315" s="96">
        <f t="shared" si="169"/>
        <v>749.45170916878942</v>
      </c>
      <c r="F315" s="96">
        <f t="shared" si="170"/>
        <v>2357.7205682693148</v>
      </c>
      <c r="G315" s="96">
        <f t="shared" si="167"/>
        <v>178260.14134140895</v>
      </c>
    </row>
    <row r="316" spans="1:7" x14ac:dyDescent="0.25">
      <c r="A316" s="91" t="s">
        <v>118</v>
      </c>
      <c r="B316" s="89">
        <v>2034</v>
      </c>
      <c r="C316" s="96">
        <f t="shared" si="168"/>
        <v>178260.14134140895</v>
      </c>
      <c r="D316" s="96">
        <f t="shared" si="165"/>
        <v>1614.9699793467776</v>
      </c>
      <c r="E316" s="96">
        <f t="shared" si="169"/>
        <v>742.7505889225373</v>
      </c>
      <c r="F316" s="96">
        <f t="shared" si="170"/>
        <v>2357.7205682693148</v>
      </c>
      <c r="G316" s="96">
        <f t="shared" si="167"/>
        <v>176645.17136206216</v>
      </c>
    </row>
    <row r="317" spans="1:7" x14ac:dyDescent="0.25">
      <c r="A317" s="91" t="s">
        <v>119</v>
      </c>
      <c r="B317" s="89">
        <v>2034</v>
      </c>
      <c r="C317" s="96">
        <f t="shared" si="168"/>
        <v>176645.17136206216</v>
      </c>
      <c r="D317" s="96">
        <f t="shared" si="165"/>
        <v>1621.699020927389</v>
      </c>
      <c r="E317" s="96">
        <f t="shared" si="169"/>
        <v>736.02154734192561</v>
      </c>
      <c r="F317" s="96">
        <f t="shared" si="170"/>
        <v>2357.7205682693148</v>
      </c>
      <c r="G317" s="96">
        <f t="shared" si="167"/>
        <v>175023.47234113477</v>
      </c>
    </row>
    <row r="318" spans="1:7" x14ac:dyDescent="0.25">
      <c r="A318" s="91" t="s">
        <v>120</v>
      </c>
      <c r="B318" s="89">
        <v>2034</v>
      </c>
      <c r="C318" s="96">
        <f t="shared" si="168"/>
        <v>175023.47234113477</v>
      </c>
      <c r="D318" s="96">
        <f t="shared" si="165"/>
        <v>1628.4561001812531</v>
      </c>
      <c r="E318" s="96">
        <f t="shared" si="169"/>
        <v>729.26446808806156</v>
      </c>
      <c r="F318" s="96">
        <f t="shared" si="170"/>
        <v>2357.7205682693148</v>
      </c>
      <c r="G318" s="96">
        <f t="shared" si="167"/>
        <v>173395.01624095353</v>
      </c>
    </row>
    <row r="319" spans="1:7" x14ac:dyDescent="0.25">
      <c r="A319" s="91" t="s">
        <v>121</v>
      </c>
      <c r="B319" s="89">
        <v>2034</v>
      </c>
      <c r="C319" s="96">
        <f t="shared" si="168"/>
        <v>173395.01624095353</v>
      </c>
      <c r="D319" s="96">
        <f t="shared" si="165"/>
        <v>1635.2413339320083</v>
      </c>
      <c r="E319" s="96">
        <f t="shared" si="169"/>
        <v>722.47923433730637</v>
      </c>
      <c r="F319" s="96">
        <f t="shared" si="170"/>
        <v>2357.7205682693148</v>
      </c>
      <c r="G319" s="96">
        <f t="shared" si="167"/>
        <v>171759.77490702152</v>
      </c>
    </row>
    <row r="320" spans="1:7" x14ac:dyDescent="0.25">
      <c r="A320" s="91" t="s">
        <v>122</v>
      </c>
      <c r="B320" s="89">
        <v>2034</v>
      </c>
      <c r="C320" s="96">
        <f t="shared" si="168"/>
        <v>171759.77490702152</v>
      </c>
      <c r="D320" s="96">
        <f t="shared" si="165"/>
        <v>1642.0548394900584</v>
      </c>
      <c r="E320" s="96">
        <f t="shared" si="169"/>
        <v>715.66572877925637</v>
      </c>
      <c r="F320" s="96">
        <f t="shared" si="170"/>
        <v>2357.7205682693148</v>
      </c>
      <c r="G320" s="96">
        <f t="shared" si="167"/>
        <v>170117.72006753145</v>
      </c>
    </row>
    <row r="321" spans="1:7" x14ac:dyDescent="0.25">
      <c r="A321" s="91" t="s">
        <v>123</v>
      </c>
      <c r="B321" s="89">
        <v>2034</v>
      </c>
      <c r="C321" s="96">
        <f t="shared" si="168"/>
        <v>170117.72006753145</v>
      </c>
      <c r="D321" s="96">
        <f t="shared" si="165"/>
        <v>1648.8967346546003</v>
      </c>
      <c r="E321" s="96">
        <f t="shared" si="169"/>
        <v>708.82383361471443</v>
      </c>
      <c r="F321" s="96">
        <f t="shared" si="170"/>
        <v>2357.7205682693148</v>
      </c>
      <c r="G321" s="96">
        <f t="shared" si="167"/>
        <v>168468.82333287684</v>
      </c>
    </row>
    <row r="322" spans="1:7" x14ac:dyDescent="0.25">
      <c r="A322" s="91" t="s">
        <v>124</v>
      </c>
      <c r="B322" s="89">
        <v>2034</v>
      </c>
      <c r="C322" s="96">
        <f t="shared" si="168"/>
        <v>168468.82333287684</v>
      </c>
      <c r="D322" s="96">
        <f t="shared" si="165"/>
        <v>1655.7671377156612</v>
      </c>
      <c r="E322" s="96">
        <f t="shared" si="169"/>
        <v>701.95343055365345</v>
      </c>
      <c r="F322" s="96">
        <f t="shared" si="170"/>
        <v>2357.7205682693148</v>
      </c>
      <c r="G322" s="97">
        <f t="shared" si="167"/>
        <v>166813.05619516119</v>
      </c>
    </row>
    <row r="323" spans="1:7" x14ac:dyDescent="0.25">
      <c r="B323" s="89"/>
      <c r="C323" s="97"/>
      <c r="D323" s="97">
        <f t="shared" ref="D323:E323" si="171">SUM(D311:D322)</f>
        <v>19421.972621090863</v>
      </c>
      <c r="E323" s="97">
        <f t="shared" si="171"/>
        <v>8870.6741981409123</v>
      </c>
      <c r="F323" s="96"/>
      <c r="G323" s="96"/>
    </row>
    <row r="324" spans="1:7" x14ac:dyDescent="0.25">
      <c r="B324" s="89"/>
      <c r="C324" s="96"/>
      <c r="D324" s="96"/>
      <c r="E324" s="96"/>
      <c r="F324" s="96"/>
      <c r="G324" s="96"/>
    </row>
    <row r="325" spans="1:7" x14ac:dyDescent="0.25">
      <c r="A325" s="91" t="s">
        <v>113</v>
      </c>
      <c r="B325" s="89">
        <v>2035</v>
      </c>
      <c r="C325" s="96">
        <f t="shared" ref="C325" si="172">+G322</f>
        <v>166813.05619516119</v>
      </c>
      <c r="D325" s="96">
        <f t="shared" ref="D325:D336" si="173">+F325-E325</f>
        <v>1662.6661674561433</v>
      </c>
      <c r="E325" s="96">
        <f>+C325*$J$5</f>
        <v>695.05440081317158</v>
      </c>
      <c r="F325" s="96">
        <f t="shared" ref="F325" si="174">+F322</f>
        <v>2357.7205682693148</v>
      </c>
      <c r="G325" s="96">
        <f t="shared" ref="G325:G336" si="175">+C325-D325</f>
        <v>165150.39002770506</v>
      </c>
    </row>
    <row r="326" spans="1:7" x14ac:dyDescent="0.25">
      <c r="A326" s="91" t="s">
        <v>114</v>
      </c>
      <c r="B326" s="89">
        <v>2035</v>
      </c>
      <c r="C326" s="96">
        <f t="shared" ref="C326:C336" si="176">+G325</f>
        <v>165150.39002770506</v>
      </c>
      <c r="D326" s="96">
        <f t="shared" si="173"/>
        <v>1669.593943153877</v>
      </c>
      <c r="E326" s="96">
        <f t="shared" ref="E326:E336" si="177">+C326*$J$5</f>
        <v>688.12662511543772</v>
      </c>
      <c r="F326" s="96">
        <f t="shared" ref="F326:F336" si="178">+F325</f>
        <v>2357.7205682693148</v>
      </c>
      <c r="G326" s="96">
        <f t="shared" si="175"/>
        <v>163480.79608455117</v>
      </c>
    </row>
    <row r="327" spans="1:7" x14ac:dyDescent="0.25">
      <c r="A327" s="91" t="s">
        <v>115</v>
      </c>
      <c r="B327" s="89">
        <v>2035</v>
      </c>
      <c r="C327" s="96">
        <f t="shared" si="176"/>
        <v>163480.79608455117</v>
      </c>
      <c r="D327" s="96">
        <f t="shared" si="173"/>
        <v>1676.5505845836849</v>
      </c>
      <c r="E327" s="96">
        <f t="shared" si="177"/>
        <v>681.16998368562986</v>
      </c>
      <c r="F327" s="96">
        <f t="shared" si="178"/>
        <v>2357.7205682693148</v>
      </c>
      <c r="G327" s="96">
        <f t="shared" si="175"/>
        <v>161804.24549996748</v>
      </c>
    </row>
    <row r="328" spans="1:7" x14ac:dyDescent="0.25">
      <c r="A328" s="91" t="s">
        <v>116</v>
      </c>
      <c r="B328" s="89">
        <v>2035</v>
      </c>
      <c r="C328" s="96">
        <f t="shared" si="176"/>
        <v>161804.24549996748</v>
      </c>
      <c r="D328" s="96">
        <f t="shared" si="173"/>
        <v>1683.5362120194502</v>
      </c>
      <c r="E328" s="96">
        <f t="shared" si="177"/>
        <v>674.18435624986455</v>
      </c>
      <c r="F328" s="96">
        <f t="shared" si="178"/>
        <v>2357.7205682693148</v>
      </c>
      <c r="G328" s="96">
        <f t="shared" si="175"/>
        <v>160120.70928794803</v>
      </c>
    </row>
    <row r="329" spans="1:7" x14ac:dyDescent="0.25">
      <c r="A329" s="91" t="s">
        <v>117</v>
      </c>
      <c r="B329" s="89">
        <v>2035</v>
      </c>
      <c r="C329" s="96">
        <f t="shared" si="176"/>
        <v>160120.70928794803</v>
      </c>
      <c r="D329" s="96">
        <f t="shared" si="173"/>
        <v>1690.5509462361979</v>
      </c>
      <c r="E329" s="96">
        <f t="shared" si="177"/>
        <v>667.16962203311675</v>
      </c>
      <c r="F329" s="96">
        <f t="shared" si="178"/>
        <v>2357.7205682693148</v>
      </c>
      <c r="G329" s="96">
        <f t="shared" si="175"/>
        <v>158430.15834171182</v>
      </c>
    </row>
    <row r="330" spans="1:7" x14ac:dyDescent="0.25">
      <c r="A330" s="91" t="s">
        <v>118</v>
      </c>
      <c r="B330" s="89">
        <v>2035</v>
      </c>
      <c r="C330" s="96">
        <f t="shared" si="176"/>
        <v>158430.15834171182</v>
      </c>
      <c r="D330" s="96">
        <f t="shared" si="173"/>
        <v>1697.5949085121822</v>
      </c>
      <c r="E330" s="96">
        <f t="shared" si="177"/>
        <v>660.12565975713255</v>
      </c>
      <c r="F330" s="96">
        <f t="shared" si="178"/>
        <v>2357.7205682693148</v>
      </c>
      <c r="G330" s="96">
        <f t="shared" si="175"/>
        <v>156732.56343319966</v>
      </c>
    </row>
    <row r="331" spans="1:7" x14ac:dyDescent="0.25">
      <c r="A331" s="91" t="s">
        <v>119</v>
      </c>
      <c r="B331" s="89">
        <v>2035</v>
      </c>
      <c r="C331" s="96">
        <f t="shared" si="176"/>
        <v>156732.56343319966</v>
      </c>
      <c r="D331" s="96">
        <f t="shared" si="173"/>
        <v>1704.6682206309829</v>
      </c>
      <c r="E331" s="96">
        <f t="shared" si="177"/>
        <v>653.05234763833187</v>
      </c>
      <c r="F331" s="96">
        <f t="shared" si="178"/>
        <v>2357.7205682693148</v>
      </c>
      <c r="G331" s="96">
        <f t="shared" si="175"/>
        <v>155027.89521256866</v>
      </c>
    </row>
    <row r="332" spans="1:7" x14ac:dyDescent="0.25">
      <c r="A332" s="91" t="s">
        <v>120</v>
      </c>
      <c r="B332" s="89">
        <v>2035</v>
      </c>
      <c r="C332" s="96">
        <f t="shared" si="176"/>
        <v>155027.89521256866</v>
      </c>
      <c r="D332" s="96">
        <f t="shared" si="173"/>
        <v>1711.771004883612</v>
      </c>
      <c r="E332" s="96">
        <f t="shared" si="177"/>
        <v>645.94956338570273</v>
      </c>
      <c r="F332" s="96">
        <f t="shared" si="178"/>
        <v>2357.7205682693148</v>
      </c>
      <c r="G332" s="96">
        <f t="shared" si="175"/>
        <v>153316.12420768506</v>
      </c>
    </row>
    <row r="333" spans="1:7" x14ac:dyDescent="0.25">
      <c r="A333" s="91" t="s">
        <v>121</v>
      </c>
      <c r="B333" s="89">
        <v>2035</v>
      </c>
      <c r="C333" s="96">
        <f t="shared" si="176"/>
        <v>153316.12420768506</v>
      </c>
      <c r="D333" s="96">
        <f t="shared" si="173"/>
        <v>1718.903384070627</v>
      </c>
      <c r="E333" s="96">
        <f t="shared" si="177"/>
        <v>638.81718419868776</v>
      </c>
      <c r="F333" s="96">
        <f t="shared" si="178"/>
        <v>2357.7205682693148</v>
      </c>
      <c r="G333" s="96">
        <f t="shared" si="175"/>
        <v>151597.22082361442</v>
      </c>
    </row>
    <row r="334" spans="1:7" x14ac:dyDescent="0.25">
      <c r="A334" s="91" t="s">
        <v>122</v>
      </c>
      <c r="B334" s="89">
        <v>2035</v>
      </c>
      <c r="C334" s="96">
        <f t="shared" si="176"/>
        <v>151597.22082361442</v>
      </c>
      <c r="D334" s="96">
        <f t="shared" si="173"/>
        <v>1726.0654815042546</v>
      </c>
      <c r="E334" s="96">
        <f t="shared" si="177"/>
        <v>631.6550867650601</v>
      </c>
      <c r="F334" s="96">
        <f t="shared" si="178"/>
        <v>2357.7205682693148</v>
      </c>
      <c r="G334" s="96">
        <f t="shared" si="175"/>
        <v>149871.15534211017</v>
      </c>
    </row>
    <row r="335" spans="1:7" x14ac:dyDescent="0.25">
      <c r="A335" s="91" t="s">
        <v>123</v>
      </c>
      <c r="B335" s="89">
        <v>2035</v>
      </c>
      <c r="C335" s="96">
        <f t="shared" si="176"/>
        <v>149871.15534211017</v>
      </c>
      <c r="D335" s="96">
        <f t="shared" si="173"/>
        <v>1733.2574210105224</v>
      </c>
      <c r="E335" s="96">
        <f t="shared" si="177"/>
        <v>624.46314725879233</v>
      </c>
      <c r="F335" s="96">
        <f t="shared" si="178"/>
        <v>2357.7205682693148</v>
      </c>
      <c r="G335" s="96">
        <f t="shared" si="175"/>
        <v>148137.89792109965</v>
      </c>
    </row>
    <row r="336" spans="1:7" x14ac:dyDescent="0.25">
      <c r="A336" s="91" t="s">
        <v>124</v>
      </c>
      <c r="B336" s="89">
        <v>2035</v>
      </c>
      <c r="C336" s="96">
        <f t="shared" si="176"/>
        <v>148137.89792109965</v>
      </c>
      <c r="D336" s="96">
        <f t="shared" si="173"/>
        <v>1740.4793269313996</v>
      </c>
      <c r="E336" s="96">
        <f t="shared" si="177"/>
        <v>617.2412413379152</v>
      </c>
      <c r="F336" s="96">
        <f t="shared" si="178"/>
        <v>2357.7205682693148</v>
      </c>
      <c r="G336" s="97">
        <f t="shared" si="175"/>
        <v>146397.41859416824</v>
      </c>
    </row>
    <row r="337" spans="1:7" x14ac:dyDescent="0.25">
      <c r="B337" s="89"/>
      <c r="C337" s="98"/>
      <c r="D337" s="97">
        <f t="shared" ref="D337:E337" si="179">SUM(D325:D336)</f>
        <v>20415.637600992937</v>
      </c>
      <c r="E337" s="97">
        <f t="shared" si="179"/>
        <v>7877.0092182388425</v>
      </c>
    </row>
    <row r="338" spans="1:7" x14ac:dyDescent="0.25">
      <c r="B338" s="89"/>
    </row>
    <row r="339" spans="1:7" x14ac:dyDescent="0.25">
      <c r="A339" s="91" t="s">
        <v>113</v>
      </c>
      <c r="B339" s="89">
        <v>2036</v>
      </c>
      <c r="C339" s="96">
        <f t="shared" ref="C339" si="180">+G336</f>
        <v>146397.41859416824</v>
      </c>
      <c r="D339" s="96">
        <f t="shared" ref="D339:D350" si="181">+F339-E339</f>
        <v>1747.7313241269471</v>
      </c>
      <c r="E339" s="96">
        <f>+C339*$J$5</f>
        <v>609.98924414236762</v>
      </c>
      <c r="F339" s="96">
        <f t="shared" ref="F339" si="182">+F336</f>
        <v>2357.7205682693148</v>
      </c>
      <c r="G339" s="96">
        <f t="shared" ref="G339:G350" si="183">+C339-D339</f>
        <v>144649.68727004129</v>
      </c>
    </row>
    <row r="340" spans="1:7" x14ac:dyDescent="0.25">
      <c r="A340" s="91" t="s">
        <v>114</v>
      </c>
      <c r="B340" s="89">
        <v>2036</v>
      </c>
      <c r="C340" s="96">
        <f t="shared" ref="C340:C350" si="184">+G339</f>
        <v>144649.68727004129</v>
      </c>
      <c r="D340" s="96">
        <f t="shared" si="181"/>
        <v>1755.0135379774761</v>
      </c>
      <c r="E340" s="96">
        <f t="shared" ref="E340:E350" si="185">+C340*$J$5</f>
        <v>602.70703029183869</v>
      </c>
      <c r="F340" s="96">
        <f t="shared" ref="F340:F350" si="186">+F339</f>
        <v>2357.7205682693148</v>
      </c>
      <c r="G340" s="96">
        <f t="shared" si="183"/>
        <v>142894.67373206382</v>
      </c>
    </row>
    <row r="341" spans="1:7" x14ac:dyDescent="0.25">
      <c r="A341" s="91" t="s">
        <v>115</v>
      </c>
      <c r="B341" s="89">
        <v>2036</v>
      </c>
      <c r="C341" s="96">
        <f t="shared" si="184"/>
        <v>142894.67373206382</v>
      </c>
      <c r="D341" s="96">
        <f t="shared" si="181"/>
        <v>1762.3260943857154</v>
      </c>
      <c r="E341" s="96">
        <f t="shared" si="185"/>
        <v>595.39447388359929</v>
      </c>
      <c r="F341" s="96">
        <f t="shared" si="186"/>
        <v>2357.7205682693148</v>
      </c>
      <c r="G341" s="96">
        <f t="shared" si="183"/>
        <v>141132.34763767812</v>
      </c>
    </row>
    <row r="342" spans="1:7" x14ac:dyDescent="0.25">
      <c r="A342" s="91" t="s">
        <v>116</v>
      </c>
      <c r="B342" s="89">
        <v>2036</v>
      </c>
      <c r="C342" s="96">
        <f t="shared" si="184"/>
        <v>141132.34763767812</v>
      </c>
      <c r="D342" s="96">
        <f t="shared" si="181"/>
        <v>1769.6691197789892</v>
      </c>
      <c r="E342" s="96">
        <f t="shared" si="185"/>
        <v>588.05144849032547</v>
      </c>
      <c r="F342" s="96">
        <f t="shared" si="186"/>
        <v>2357.7205682693148</v>
      </c>
      <c r="G342" s="96">
        <f t="shared" si="183"/>
        <v>139362.67851789913</v>
      </c>
    </row>
    <row r="343" spans="1:7" x14ac:dyDescent="0.25">
      <c r="A343" s="91" t="s">
        <v>117</v>
      </c>
      <c r="B343" s="89">
        <v>2036</v>
      </c>
      <c r="C343" s="96">
        <f t="shared" si="184"/>
        <v>139362.67851789913</v>
      </c>
      <c r="D343" s="96">
        <f t="shared" si="181"/>
        <v>1777.0427411114017</v>
      </c>
      <c r="E343" s="96">
        <f t="shared" si="185"/>
        <v>580.67782715791304</v>
      </c>
      <c r="F343" s="96">
        <f t="shared" si="186"/>
        <v>2357.7205682693148</v>
      </c>
      <c r="G343" s="96">
        <f t="shared" si="183"/>
        <v>137585.63577678773</v>
      </c>
    </row>
    <row r="344" spans="1:7" x14ac:dyDescent="0.25">
      <c r="A344" s="91" t="s">
        <v>118</v>
      </c>
      <c r="B344" s="89">
        <v>2036</v>
      </c>
      <c r="C344" s="96">
        <f t="shared" si="184"/>
        <v>137585.63577678773</v>
      </c>
      <c r="D344" s="96">
        <f t="shared" si="181"/>
        <v>1784.4470858660325</v>
      </c>
      <c r="E344" s="96">
        <f t="shared" si="185"/>
        <v>573.27348240328217</v>
      </c>
      <c r="F344" s="96">
        <f t="shared" si="186"/>
        <v>2357.7205682693148</v>
      </c>
      <c r="G344" s="96">
        <f t="shared" si="183"/>
        <v>135801.1886909217</v>
      </c>
    </row>
    <row r="345" spans="1:7" x14ac:dyDescent="0.25">
      <c r="A345" s="91" t="s">
        <v>119</v>
      </c>
      <c r="B345" s="89">
        <v>2036</v>
      </c>
      <c r="C345" s="96">
        <f t="shared" si="184"/>
        <v>135801.1886909217</v>
      </c>
      <c r="D345" s="96">
        <f t="shared" si="181"/>
        <v>1791.8822820571409</v>
      </c>
      <c r="E345" s="96">
        <f t="shared" si="185"/>
        <v>565.83828621217378</v>
      </c>
      <c r="F345" s="96">
        <f t="shared" si="186"/>
        <v>2357.7205682693148</v>
      </c>
      <c r="G345" s="96">
        <f t="shared" si="183"/>
        <v>134009.30640886456</v>
      </c>
    </row>
    <row r="346" spans="1:7" x14ac:dyDescent="0.25">
      <c r="A346" s="91" t="s">
        <v>120</v>
      </c>
      <c r="B346" s="89">
        <v>2036</v>
      </c>
      <c r="C346" s="96">
        <f t="shared" si="184"/>
        <v>134009.30640886456</v>
      </c>
      <c r="D346" s="96">
        <f t="shared" si="181"/>
        <v>1799.348458232379</v>
      </c>
      <c r="E346" s="96">
        <f t="shared" si="185"/>
        <v>558.37211003693562</v>
      </c>
      <c r="F346" s="96">
        <f t="shared" si="186"/>
        <v>2357.7205682693148</v>
      </c>
      <c r="G346" s="96">
        <f t="shared" si="183"/>
        <v>132209.95795063218</v>
      </c>
    </row>
    <row r="347" spans="1:7" x14ac:dyDescent="0.25">
      <c r="A347" s="91" t="s">
        <v>121</v>
      </c>
      <c r="B347" s="89">
        <v>2036</v>
      </c>
      <c r="C347" s="96">
        <f t="shared" si="184"/>
        <v>132209.95795063218</v>
      </c>
      <c r="D347" s="96">
        <f t="shared" si="181"/>
        <v>1806.8457434750139</v>
      </c>
      <c r="E347" s="96">
        <f t="shared" si="185"/>
        <v>550.87482479430071</v>
      </c>
      <c r="F347" s="96">
        <f t="shared" si="186"/>
        <v>2357.7205682693148</v>
      </c>
      <c r="G347" s="96">
        <f t="shared" si="183"/>
        <v>130403.11220715716</v>
      </c>
    </row>
    <row r="348" spans="1:7" x14ac:dyDescent="0.25">
      <c r="A348" s="91" t="s">
        <v>122</v>
      </c>
      <c r="B348" s="89">
        <v>2036</v>
      </c>
      <c r="C348" s="96">
        <f t="shared" si="184"/>
        <v>130403.11220715716</v>
      </c>
      <c r="D348" s="96">
        <f t="shared" si="181"/>
        <v>1814.37426740616</v>
      </c>
      <c r="E348" s="96">
        <f t="shared" si="185"/>
        <v>543.34630086315485</v>
      </c>
      <c r="F348" s="96">
        <f t="shared" si="186"/>
        <v>2357.7205682693148</v>
      </c>
      <c r="G348" s="96">
        <f t="shared" si="183"/>
        <v>128588.73793975099</v>
      </c>
    </row>
    <row r="349" spans="1:7" x14ac:dyDescent="0.25">
      <c r="A349" s="91" t="s">
        <v>123</v>
      </c>
      <c r="B349" s="89">
        <v>2036</v>
      </c>
      <c r="C349" s="96">
        <f t="shared" si="184"/>
        <v>128588.73793975099</v>
      </c>
      <c r="D349" s="96">
        <f t="shared" si="181"/>
        <v>1821.934160187019</v>
      </c>
      <c r="E349" s="96">
        <f t="shared" si="185"/>
        <v>535.78640808229579</v>
      </c>
      <c r="F349" s="96">
        <f t="shared" si="186"/>
        <v>2357.7205682693148</v>
      </c>
      <c r="G349" s="96">
        <f t="shared" si="183"/>
        <v>126766.80377956397</v>
      </c>
    </row>
    <row r="350" spans="1:7" x14ac:dyDescent="0.25">
      <c r="A350" s="91" t="s">
        <v>124</v>
      </c>
      <c r="B350" s="89">
        <v>2036</v>
      </c>
      <c r="C350" s="96">
        <f t="shared" si="184"/>
        <v>126766.80377956397</v>
      </c>
      <c r="D350" s="96">
        <f t="shared" si="181"/>
        <v>1829.5255525211314</v>
      </c>
      <c r="E350" s="96">
        <f t="shared" si="185"/>
        <v>528.19501574818321</v>
      </c>
      <c r="F350" s="96">
        <f t="shared" si="186"/>
        <v>2357.7205682693148</v>
      </c>
      <c r="G350" s="97">
        <f t="shared" si="183"/>
        <v>124937.27822704284</v>
      </c>
    </row>
    <row r="351" spans="1:7" x14ac:dyDescent="0.25">
      <c r="B351" s="89"/>
      <c r="C351" s="97"/>
      <c r="D351" s="97">
        <f t="shared" ref="D351:E351" si="187">SUM(D339:D350)</f>
        <v>21460.140367125408</v>
      </c>
      <c r="E351" s="97">
        <f t="shared" si="187"/>
        <v>6832.5064521063705</v>
      </c>
      <c r="F351" s="96"/>
      <c r="G351" s="96"/>
    </row>
    <row r="352" spans="1:7" x14ac:dyDescent="0.25">
      <c r="B352" s="89"/>
      <c r="C352" s="96"/>
      <c r="D352" s="96"/>
      <c r="E352" s="96"/>
      <c r="F352" s="96"/>
      <c r="G352" s="96"/>
    </row>
    <row r="353" spans="1:7" x14ac:dyDescent="0.25">
      <c r="A353" s="91" t="s">
        <v>113</v>
      </c>
      <c r="B353" s="89">
        <v>2037</v>
      </c>
      <c r="C353" s="96">
        <f t="shared" ref="C353" si="188">+G350</f>
        <v>124937.27822704284</v>
      </c>
      <c r="D353" s="96">
        <f t="shared" ref="D353:D364" si="189">+F353-E353</f>
        <v>1837.1485756566362</v>
      </c>
      <c r="E353" s="96">
        <f>+C353*$J$5</f>
        <v>520.57199261267851</v>
      </c>
      <c r="F353" s="96">
        <f t="shared" ref="F353" si="190">+F350</f>
        <v>2357.7205682693148</v>
      </c>
      <c r="G353" s="96">
        <f t="shared" ref="G353:G364" si="191">+C353-D353</f>
        <v>123100.1296513862</v>
      </c>
    </row>
    <row r="354" spans="1:7" x14ac:dyDescent="0.25">
      <c r="A354" s="91" t="s">
        <v>114</v>
      </c>
      <c r="B354" s="89">
        <v>2037</v>
      </c>
      <c r="C354" s="96">
        <f t="shared" ref="C354:C364" si="192">+G353</f>
        <v>123100.1296513862</v>
      </c>
      <c r="D354" s="96">
        <f t="shared" si="189"/>
        <v>1844.8033613885389</v>
      </c>
      <c r="E354" s="96">
        <f t="shared" ref="E354:E364" si="193">+C354*$J$5</f>
        <v>512.91720688077589</v>
      </c>
      <c r="F354" s="96">
        <f t="shared" ref="F354:F364" si="194">+F353</f>
        <v>2357.7205682693148</v>
      </c>
      <c r="G354" s="96">
        <f t="shared" si="191"/>
        <v>121255.32628999767</v>
      </c>
    </row>
    <row r="355" spans="1:7" x14ac:dyDescent="0.25">
      <c r="A355" s="91" t="s">
        <v>115</v>
      </c>
      <c r="B355" s="89">
        <v>2037</v>
      </c>
      <c r="C355" s="96">
        <f t="shared" si="192"/>
        <v>121255.32628999767</v>
      </c>
      <c r="D355" s="96">
        <f t="shared" si="189"/>
        <v>1852.4900420609911</v>
      </c>
      <c r="E355" s="96">
        <f t="shared" si="193"/>
        <v>505.23052620832362</v>
      </c>
      <c r="F355" s="96">
        <f t="shared" si="194"/>
        <v>2357.7205682693148</v>
      </c>
      <c r="G355" s="96">
        <f t="shared" si="191"/>
        <v>119402.83624793668</v>
      </c>
    </row>
    <row r="356" spans="1:7" x14ac:dyDescent="0.25">
      <c r="A356" s="91" t="s">
        <v>116</v>
      </c>
      <c r="B356" s="89">
        <v>2037</v>
      </c>
      <c r="C356" s="96">
        <f t="shared" si="192"/>
        <v>119402.83624793668</v>
      </c>
      <c r="D356" s="96">
        <f t="shared" si="189"/>
        <v>1860.2087505695786</v>
      </c>
      <c r="E356" s="96">
        <f t="shared" si="193"/>
        <v>497.51181769973613</v>
      </c>
      <c r="F356" s="96">
        <f t="shared" si="194"/>
        <v>2357.7205682693148</v>
      </c>
      <c r="G356" s="96">
        <f t="shared" si="191"/>
        <v>117542.6274973671</v>
      </c>
    </row>
    <row r="357" spans="1:7" x14ac:dyDescent="0.25">
      <c r="A357" s="91" t="s">
        <v>117</v>
      </c>
      <c r="B357" s="89">
        <v>2037</v>
      </c>
      <c r="C357" s="96">
        <f t="shared" si="192"/>
        <v>117542.6274973671</v>
      </c>
      <c r="D357" s="96">
        <f t="shared" si="189"/>
        <v>1867.9596203636186</v>
      </c>
      <c r="E357" s="96">
        <f t="shared" si="193"/>
        <v>489.76094790569624</v>
      </c>
      <c r="F357" s="96">
        <f t="shared" si="194"/>
        <v>2357.7205682693148</v>
      </c>
      <c r="G357" s="96">
        <f t="shared" si="191"/>
        <v>115674.66787700348</v>
      </c>
    </row>
    <row r="358" spans="1:7" x14ac:dyDescent="0.25">
      <c r="A358" s="91" t="s">
        <v>118</v>
      </c>
      <c r="B358" s="89">
        <v>2037</v>
      </c>
      <c r="C358" s="96">
        <f t="shared" si="192"/>
        <v>115674.66787700348</v>
      </c>
      <c r="D358" s="96">
        <f t="shared" si="189"/>
        <v>1875.742785448467</v>
      </c>
      <c r="E358" s="96">
        <f t="shared" si="193"/>
        <v>481.97778282084784</v>
      </c>
      <c r="F358" s="96">
        <f t="shared" si="194"/>
        <v>2357.7205682693148</v>
      </c>
      <c r="G358" s="96">
        <f t="shared" si="191"/>
        <v>113798.92509155501</v>
      </c>
    </row>
    <row r="359" spans="1:7" x14ac:dyDescent="0.25">
      <c r="A359" s="91" t="s">
        <v>119</v>
      </c>
      <c r="B359" s="89">
        <v>2037</v>
      </c>
      <c r="C359" s="96">
        <f t="shared" si="192"/>
        <v>113798.92509155501</v>
      </c>
      <c r="D359" s="96">
        <f t="shared" si="189"/>
        <v>1883.5583803878355</v>
      </c>
      <c r="E359" s="96">
        <f t="shared" si="193"/>
        <v>474.16218788147921</v>
      </c>
      <c r="F359" s="96">
        <f t="shared" si="194"/>
        <v>2357.7205682693148</v>
      </c>
      <c r="G359" s="96">
        <f t="shared" si="191"/>
        <v>111915.36671116717</v>
      </c>
    </row>
    <row r="360" spans="1:7" x14ac:dyDescent="0.25">
      <c r="A360" s="91" t="s">
        <v>120</v>
      </c>
      <c r="B360" s="89">
        <v>2037</v>
      </c>
      <c r="C360" s="96">
        <f t="shared" si="192"/>
        <v>111915.36671116717</v>
      </c>
      <c r="D360" s="96">
        <f t="shared" si="189"/>
        <v>1891.4065403061181</v>
      </c>
      <c r="E360" s="96">
        <f t="shared" si="193"/>
        <v>466.31402796319651</v>
      </c>
      <c r="F360" s="96">
        <f t="shared" si="194"/>
        <v>2357.7205682693148</v>
      </c>
      <c r="G360" s="96">
        <f t="shared" si="191"/>
        <v>110023.96017086104</v>
      </c>
    </row>
    <row r="361" spans="1:7" x14ac:dyDescent="0.25">
      <c r="A361" s="91" t="s">
        <v>121</v>
      </c>
      <c r="B361" s="89">
        <v>2037</v>
      </c>
      <c r="C361" s="96">
        <f t="shared" si="192"/>
        <v>110023.96017086104</v>
      </c>
      <c r="D361" s="96">
        <f t="shared" si="189"/>
        <v>1899.287400890727</v>
      </c>
      <c r="E361" s="96">
        <f t="shared" si="193"/>
        <v>458.43316737858765</v>
      </c>
      <c r="F361" s="96">
        <f t="shared" si="194"/>
        <v>2357.7205682693148</v>
      </c>
      <c r="G361" s="96">
        <f t="shared" si="191"/>
        <v>108124.67276997032</v>
      </c>
    </row>
    <row r="362" spans="1:7" x14ac:dyDescent="0.25">
      <c r="A362" s="91" t="s">
        <v>122</v>
      </c>
      <c r="B362" s="89">
        <v>2037</v>
      </c>
      <c r="C362" s="96">
        <f t="shared" si="192"/>
        <v>108124.67276997032</v>
      </c>
      <c r="D362" s="96">
        <f t="shared" si="189"/>
        <v>1907.2010983944383</v>
      </c>
      <c r="E362" s="96">
        <f t="shared" si="193"/>
        <v>450.51946987487634</v>
      </c>
      <c r="F362" s="96">
        <f t="shared" si="194"/>
        <v>2357.7205682693148</v>
      </c>
      <c r="G362" s="96">
        <f t="shared" si="191"/>
        <v>106217.47167157588</v>
      </c>
    </row>
    <row r="363" spans="1:7" x14ac:dyDescent="0.25">
      <c r="A363" s="91" t="s">
        <v>123</v>
      </c>
      <c r="B363" s="89">
        <v>2037</v>
      </c>
      <c r="C363" s="96">
        <f t="shared" si="192"/>
        <v>106217.47167157588</v>
      </c>
      <c r="D363" s="96">
        <f t="shared" si="189"/>
        <v>1915.1477696377485</v>
      </c>
      <c r="E363" s="96">
        <f t="shared" si="193"/>
        <v>442.57279863156617</v>
      </c>
      <c r="F363" s="96">
        <f t="shared" si="194"/>
        <v>2357.7205682693148</v>
      </c>
      <c r="G363" s="96">
        <f t="shared" si="191"/>
        <v>104302.32390193813</v>
      </c>
    </row>
    <row r="364" spans="1:7" x14ac:dyDescent="0.25">
      <c r="A364" s="91" t="s">
        <v>124</v>
      </c>
      <c r="B364" s="89">
        <v>2037</v>
      </c>
      <c r="C364" s="96">
        <f t="shared" si="192"/>
        <v>104302.32390193813</v>
      </c>
      <c r="D364" s="96">
        <f t="shared" si="189"/>
        <v>1923.1275520112392</v>
      </c>
      <c r="E364" s="96">
        <f t="shared" si="193"/>
        <v>434.59301625807552</v>
      </c>
      <c r="F364" s="96">
        <f t="shared" si="194"/>
        <v>2357.7205682693148</v>
      </c>
      <c r="G364" s="97">
        <f t="shared" si="191"/>
        <v>102379.19634992689</v>
      </c>
    </row>
    <row r="365" spans="1:7" x14ac:dyDescent="0.25">
      <c r="B365" s="89"/>
      <c r="C365" s="98"/>
      <c r="D365" s="97">
        <f t="shared" ref="D365:E365" si="195">SUM(D353:D364)</f>
        <v>22558.081877115936</v>
      </c>
      <c r="E365" s="97">
        <f t="shared" si="195"/>
        <v>5734.5649421158396</v>
      </c>
    </row>
    <row r="366" spans="1:7" x14ac:dyDescent="0.25">
      <c r="B366" s="89"/>
    </row>
    <row r="367" spans="1:7" x14ac:dyDescent="0.25">
      <c r="A367" s="91" t="s">
        <v>113</v>
      </c>
      <c r="B367" s="84">
        <v>2038</v>
      </c>
      <c r="C367" s="96">
        <f t="shared" ref="C367" si="196">+G364</f>
        <v>102379.19634992689</v>
      </c>
      <c r="D367" s="96">
        <f t="shared" ref="D367:D378" si="197">+F367-E367</f>
        <v>1931.1405834779528</v>
      </c>
      <c r="E367" s="96">
        <f>+C367*$J$5</f>
        <v>426.57998479136205</v>
      </c>
      <c r="F367" s="96">
        <f t="shared" ref="F367" si="198">+F364</f>
        <v>2357.7205682693148</v>
      </c>
      <c r="G367" s="96">
        <f t="shared" ref="G367:G378" si="199">+C367-D367</f>
        <v>100448.05576644893</v>
      </c>
    </row>
    <row r="368" spans="1:7" x14ac:dyDescent="0.25">
      <c r="A368" s="91" t="s">
        <v>114</v>
      </c>
      <c r="B368" s="84">
        <v>2038</v>
      </c>
      <c r="C368" s="96">
        <f t="shared" ref="C368:C378" si="200">+G367</f>
        <v>100448.05576644893</v>
      </c>
      <c r="D368" s="96">
        <f t="shared" si="197"/>
        <v>1939.1870025757776</v>
      </c>
      <c r="E368" s="96">
        <f t="shared" ref="E368:E378" si="201">+C368*$J$5</f>
        <v>418.53356569353718</v>
      </c>
      <c r="F368" s="96">
        <f t="shared" ref="F368:F378" si="202">+F367</f>
        <v>2357.7205682693148</v>
      </c>
      <c r="G368" s="96">
        <f t="shared" si="199"/>
        <v>98508.86876387315</v>
      </c>
    </row>
    <row r="369" spans="1:7" x14ac:dyDescent="0.25">
      <c r="A369" s="91" t="s">
        <v>115</v>
      </c>
      <c r="B369" s="84">
        <v>2038</v>
      </c>
      <c r="C369" s="96">
        <f t="shared" si="200"/>
        <v>98508.86876387315</v>
      </c>
      <c r="D369" s="96">
        <f t="shared" si="197"/>
        <v>1947.2669484198432</v>
      </c>
      <c r="E369" s="96">
        <f t="shared" si="201"/>
        <v>410.45361984947147</v>
      </c>
      <c r="F369" s="96">
        <f t="shared" si="202"/>
        <v>2357.7205682693148</v>
      </c>
      <c r="G369" s="96">
        <f t="shared" si="199"/>
        <v>96561.601815453309</v>
      </c>
    </row>
    <row r="370" spans="1:7" x14ac:dyDescent="0.25">
      <c r="A370" s="91" t="s">
        <v>116</v>
      </c>
      <c r="B370" s="84">
        <v>2038</v>
      </c>
      <c r="C370" s="96">
        <f t="shared" si="200"/>
        <v>96561.601815453309</v>
      </c>
      <c r="D370" s="96">
        <f t="shared" si="197"/>
        <v>1955.380560704926</v>
      </c>
      <c r="E370" s="96">
        <f t="shared" si="201"/>
        <v>402.34000756438877</v>
      </c>
      <c r="F370" s="96">
        <f t="shared" si="202"/>
        <v>2357.7205682693148</v>
      </c>
      <c r="G370" s="96">
        <f t="shared" si="199"/>
        <v>94606.22125474838</v>
      </c>
    </row>
    <row r="371" spans="1:7" x14ac:dyDescent="0.25">
      <c r="A371" s="91" t="s">
        <v>117</v>
      </c>
      <c r="B371" s="84">
        <v>2038</v>
      </c>
      <c r="C371" s="96">
        <f t="shared" si="200"/>
        <v>94606.22125474838</v>
      </c>
      <c r="D371" s="96">
        <f t="shared" si="197"/>
        <v>1963.5279797078631</v>
      </c>
      <c r="E371" s="96">
        <f t="shared" si="201"/>
        <v>394.1925885614516</v>
      </c>
      <c r="F371" s="96">
        <f t="shared" si="202"/>
        <v>2357.7205682693148</v>
      </c>
      <c r="G371" s="96">
        <f t="shared" si="199"/>
        <v>92642.69327504051</v>
      </c>
    </row>
    <row r="372" spans="1:7" x14ac:dyDescent="0.25">
      <c r="A372" s="91" t="s">
        <v>118</v>
      </c>
      <c r="B372" s="84">
        <v>2038</v>
      </c>
      <c r="C372" s="96">
        <f t="shared" si="200"/>
        <v>92642.69327504051</v>
      </c>
      <c r="D372" s="96">
        <f t="shared" si="197"/>
        <v>1971.7093462899793</v>
      </c>
      <c r="E372" s="96">
        <f t="shared" si="201"/>
        <v>386.01122197933546</v>
      </c>
      <c r="F372" s="96">
        <f t="shared" si="202"/>
        <v>2357.7205682693148</v>
      </c>
      <c r="G372" s="96">
        <f t="shared" si="199"/>
        <v>90670.983928750531</v>
      </c>
    </row>
    <row r="373" spans="1:7" x14ac:dyDescent="0.25">
      <c r="A373" s="91" t="s">
        <v>119</v>
      </c>
      <c r="B373" s="84">
        <v>2038</v>
      </c>
      <c r="C373" s="96">
        <f t="shared" si="200"/>
        <v>90670.983928750531</v>
      </c>
      <c r="D373" s="96">
        <f t="shared" si="197"/>
        <v>1979.9248018995208</v>
      </c>
      <c r="E373" s="96">
        <f t="shared" si="201"/>
        <v>377.79576636979385</v>
      </c>
      <c r="F373" s="96">
        <f t="shared" si="202"/>
        <v>2357.7205682693148</v>
      </c>
      <c r="G373" s="96">
        <f t="shared" si="199"/>
        <v>88691.059126851003</v>
      </c>
    </row>
    <row r="374" spans="1:7" x14ac:dyDescent="0.25">
      <c r="A374" s="91" t="s">
        <v>120</v>
      </c>
      <c r="B374" s="84">
        <v>2038</v>
      </c>
      <c r="C374" s="96">
        <f t="shared" si="200"/>
        <v>88691.059126851003</v>
      </c>
      <c r="D374" s="96">
        <f t="shared" si="197"/>
        <v>1988.1744885741023</v>
      </c>
      <c r="E374" s="96">
        <f t="shared" si="201"/>
        <v>369.54607969521248</v>
      </c>
      <c r="F374" s="96">
        <f t="shared" si="202"/>
        <v>2357.7205682693148</v>
      </c>
      <c r="G374" s="96">
        <f t="shared" si="199"/>
        <v>86702.884638276897</v>
      </c>
    </row>
    <row r="375" spans="1:7" x14ac:dyDescent="0.25">
      <c r="A375" s="91" t="s">
        <v>121</v>
      </c>
      <c r="B375" s="84">
        <v>2038</v>
      </c>
      <c r="C375" s="96">
        <f t="shared" si="200"/>
        <v>86702.884638276897</v>
      </c>
      <c r="D375" s="96">
        <f t="shared" si="197"/>
        <v>1996.4585489431611</v>
      </c>
      <c r="E375" s="96">
        <f t="shared" si="201"/>
        <v>361.26201932615373</v>
      </c>
      <c r="F375" s="96">
        <f t="shared" si="202"/>
        <v>2357.7205682693148</v>
      </c>
      <c r="G375" s="96">
        <f t="shared" si="199"/>
        <v>84706.426089333734</v>
      </c>
    </row>
    <row r="376" spans="1:7" x14ac:dyDescent="0.25">
      <c r="A376" s="91" t="s">
        <v>122</v>
      </c>
      <c r="B376" s="84">
        <v>2038</v>
      </c>
      <c r="C376" s="96">
        <f t="shared" si="200"/>
        <v>84706.426089333734</v>
      </c>
      <c r="D376" s="96">
        <f t="shared" si="197"/>
        <v>2004.7771262304241</v>
      </c>
      <c r="E376" s="96">
        <f t="shared" si="201"/>
        <v>352.94344203889057</v>
      </c>
      <c r="F376" s="96">
        <f t="shared" si="202"/>
        <v>2357.7205682693148</v>
      </c>
      <c r="G376" s="96">
        <f t="shared" si="199"/>
        <v>82701.648963103304</v>
      </c>
    </row>
    <row r="377" spans="1:7" x14ac:dyDescent="0.25">
      <c r="A377" s="91" t="s">
        <v>123</v>
      </c>
      <c r="B377" s="84">
        <v>2038</v>
      </c>
      <c r="C377" s="96">
        <f t="shared" si="200"/>
        <v>82701.648963103304</v>
      </c>
      <c r="D377" s="96">
        <f t="shared" si="197"/>
        <v>2013.1303642563844</v>
      </c>
      <c r="E377" s="96">
        <f t="shared" si="201"/>
        <v>344.59020401293043</v>
      </c>
      <c r="F377" s="96">
        <f t="shared" si="202"/>
        <v>2357.7205682693148</v>
      </c>
      <c r="G377" s="96">
        <f t="shared" si="199"/>
        <v>80688.518598846917</v>
      </c>
    </row>
    <row r="378" spans="1:7" x14ac:dyDescent="0.25">
      <c r="A378" s="91" t="s">
        <v>124</v>
      </c>
      <c r="B378" s="84">
        <v>2038</v>
      </c>
      <c r="C378" s="96">
        <f t="shared" si="200"/>
        <v>80688.518598846917</v>
      </c>
      <c r="D378" s="96">
        <f t="shared" si="197"/>
        <v>2021.5184074407859</v>
      </c>
      <c r="E378" s="96">
        <f t="shared" si="201"/>
        <v>336.2021608285288</v>
      </c>
      <c r="F378" s="96">
        <f t="shared" si="202"/>
        <v>2357.7205682693148</v>
      </c>
      <c r="G378" s="97">
        <f t="shared" si="199"/>
        <v>78667.000191406129</v>
      </c>
    </row>
    <row r="379" spans="1:7" x14ac:dyDescent="0.25">
      <c r="B379" s="89"/>
      <c r="C379" s="97"/>
      <c r="D379" s="97">
        <f t="shared" ref="D379:E379" si="203">SUM(D367:D378)</f>
        <v>23712.196158520717</v>
      </c>
      <c r="E379" s="97">
        <f t="shared" si="203"/>
        <v>4580.4506607110561</v>
      </c>
      <c r="F379" s="96"/>
      <c r="G379" s="96"/>
    </row>
    <row r="380" spans="1:7" x14ac:dyDescent="0.25">
      <c r="C380" s="96"/>
      <c r="D380" s="96"/>
      <c r="E380" s="96"/>
      <c r="F380" s="96"/>
      <c r="G380" s="96"/>
    </row>
    <row r="381" spans="1:7" x14ac:dyDescent="0.25">
      <c r="A381" s="91" t="s">
        <v>113</v>
      </c>
      <c r="B381" s="84">
        <v>2039</v>
      </c>
      <c r="C381" s="96">
        <f t="shared" ref="C381" si="204">+G378</f>
        <v>78667.000191406129</v>
      </c>
      <c r="D381" s="96">
        <f t="shared" ref="D381:D392" si="205">+F381-E381</f>
        <v>2029.9414008051226</v>
      </c>
      <c r="E381" s="96">
        <f>+C381*$J$5</f>
        <v>327.7791674641922</v>
      </c>
      <c r="F381" s="96">
        <f t="shared" ref="F381" si="206">+F378</f>
        <v>2357.7205682693148</v>
      </c>
      <c r="G381" s="96">
        <f t="shared" ref="G381:G392" si="207">+C381-D381</f>
        <v>76637.058790601004</v>
      </c>
    </row>
    <row r="382" spans="1:7" x14ac:dyDescent="0.25">
      <c r="A382" s="91" t="s">
        <v>114</v>
      </c>
      <c r="B382" s="84">
        <v>2039</v>
      </c>
      <c r="C382" s="96">
        <f t="shared" ref="C382:C392" si="208">+G381</f>
        <v>76637.058790601004</v>
      </c>
      <c r="D382" s="96">
        <f t="shared" si="205"/>
        <v>2038.399489975144</v>
      </c>
      <c r="E382" s="96">
        <f t="shared" ref="E382:E392" si="209">+C382*$J$5</f>
        <v>319.32107829417083</v>
      </c>
      <c r="F382" s="96">
        <f t="shared" ref="F382:F392" si="210">+F381</f>
        <v>2357.7205682693148</v>
      </c>
      <c r="G382" s="96">
        <f t="shared" si="207"/>
        <v>74598.659300625863</v>
      </c>
    </row>
    <row r="383" spans="1:7" x14ac:dyDescent="0.25">
      <c r="A383" s="91" t="s">
        <v>115</v>
      </c>
      <c r="B383" s="84">
        <v>2039</v>
      </c>
      <c r="C383" s="96">
        <f t="shared" si="208"/>
        <v>74598.659300625863</v>
      </c>
      <c r="D383" s="96">
        <f t="shared" si="205"/>
        <v>2046.8928211833736</v>
      </c>
      <c r="E383" s="96">
        <f t="shared" si="209"/>
        <v>310.8277470859411</v>
      </c>
      <c r="F383" s="96">
        <f t="shared" si="210"/>
        <v>2357.7205682693148</v>
      </c>
      <c r="G383" s="96">
        <f t="shared" si="207"/>
        <v>72551.766479442493</v>
      </c>
    </row>
    <row r="384" spans="1:7" x14ac:dyDescent="0.25">
      <c r="A384" s="91" t="s">
        <v>116</v>
      </c>
      <c r="B384" s="84">
        <v>2039</v>
      </c>
      <c r="C384" s="96">
        <f t="shared" si="208"/>
        <v>72551.766479442493</v>
      </c>
      <c r="D384" s="96">
        <f t="shared" si="205"/>
        <v>2055.4215412716376</v>
      </c>
      <c r="E384" s="96">
        <f t="shared" si="209"/>
        <v>302.29902699767706</v>
      </c>
      <c r="F384" s="96">
        <f t="shared" si="210"/>
        <v>2357.7205682693148</v>
      </c>
      <c r="G384" s="96">
        <f t="shared" si="207"/>
        <v>70496.344938170849</v>
      </c>
    </row>
    <row r="385" spans="1:7" x14ac:dyDescent="0.25">
      <c r="A385" s="91" t="s">
        <v>117</v>
      </c>
      <c r="B385" s="84">
        <v>2039</v>
      </c>
      <c r="C385" s="96">
        <f t="shared" si="208"/>
        <v>70496.344938170849</v>
      </c>
      <c r="D385" s="96">
        <f t="shared" si="205"/>
        <v>2063.9857976936028</v>
      </c>
      <c r="E385" s="96">
        <f t="shared" si="209"/>
        <v>293.73477057571188</v>
      </c>
      <c r="F385" s="96">
        <f t="shared" si="210"/>
        <v>2357.7205682693148</v>
      </c>
      <c r="G385" s="96">
        <f t="shared" si="207"/>
        <v>68432.359140477245</v>
      </c>
    </row>
    <row r="386" spans="1:7" x14ac:dyDescent="0.25">
      <c r="A386" s="91" t="s">
        <v>118</v>
      </c>
      <c r="B386" s="84">
        <v>2039</v>
      </c>
      <c r="C386" s="96">
        <f t="shared" si="208"/>
        <v>68432.359140477245</v>
      </c>
      <c r="D386" s="96">
        <f t="shared" si="205"/>
        <v>2072.5857385173263</v>
      </c>
      <c r="E386" s="96">
        <f t="shared" si="209"/>
        <v>285.13482975198849</v>
      </c>
      <c r="F386" s="96">
        <f t="shared" si="210"/>
        <v>2357.7205682693148</v>
      </c>
      <c r="G386" s="96">
        <f t="shared" si="207"/>
        <v>66359.773401959916</v>
      </c>
    </row>
    <row r="387" spans="1:7" x14ac:dyDescent="0.25">
      <c r="A387" s="91" t="s">
        <v>119</v>
      </c>
      <c r="B387" s="84">
        <v>2039</v>
      </c>
      <c r="C387" s="96">
        <f t="shared" si="208"/>
        <v>66359.773401959916</v>
      </c>
      <c r="D387" s="96">
        <f t="shared" si="205"/>
        <v>2081.221512427815</v>
      </c>
      <c r="E387" s="96">
        <f t="shared" si="209"/>
        <v>276.49905584149963</v>
      </c>
      <c r="F387" s="96">
        <f t="shared" si="210"/>
        <v>2357.7205682693148</v>
      </c>
      <c r="G387" s="96">
        <f t="shared" si="207"/>
        <v>64278.5518895321</v>
      </c>
    </row>
    <row r="388" spans="1:7" x14ac:dyDescent="0.25">
      <c r="A388" s="91" t="s">
        <v>120</v>
      </c>
      <c r="B388" s="84">
        <v>2039</v>
      </c>
      <c r="C388" s="96">
        <f t="shared" si="208"/>
        <v>64278.5518895321</v>
      </c>
      <c r="D388" s="96">
        <f t="shared" si="205"/>
        <v>2089.8932687295978</v>
      </c>
      <c r="E388" s="96">
        <f t="shared" si="209"/>
        <v>267.8272995397171</v>
      </c>
      <c r="F388" s="96">
        <f t="shared" si="210"/>
        <v>2357.7205682693148</v>
      </c>
      <c r="G388" s="96">
        <f t="shared" si="207"/>
        <v>62188.658620802504</v>
      </c>
    </row>
    <row r="389" spans="1:7" x14ac:dyDescent="0.25">
      <c r="A389" s="91" t="s">
        <v>121</v>
      </c>
      <c r="B389" s="84">
        <v>2039</v>
      </c>
      <c r="C389" s="96">
        <f t="shared" si="208"/>
        <v>62188.658620802504</v>
      </c>
      <c r="D389" s="96">
        <f t="shared" si="205"/>
        <v>2098.6011573493042</v>
      </c>
      <c r="E389" s="96">
        <f t="shared" si="209"/>
        <v>259.11941092001041</v>
      </c>
      <c r="F389" s="96">
        <f t="shared" si="210"/>
        <v>2357.7205682693148</v>
      </c>
      <c r="G389" s="96">
        <f t="shared" si="207"/>
        <v>60090.057463453202</v>
      </c>
    </row>
    <row r="390" spans="1:7" x14ac:dyDescent="0.25">
      <c r="A390" s="91" t="s">
        <v>122</v>
      </c>
      <c r="B390" s="84">
        <v>2039</v>
      </c>
      <c r="C390" s="96">
        <f t="shared" si="208"/>
        <v>60090.057463453202</v>
      </c>
      <c r="D390" s="96">
        <f t="shared" si="205"/>
        <v>2107.3453288382598</v>
      </c>
      <c r="E390" s="96">
        <f t="shared" si="209"/>
        <v>250.37523943105501</v>
      </c>
      <c r="F390" s="96">
        <f t="shared" si="210"/>
        <v>2357.7205682693148</v>
      </c>
      <c r="G390" s="96">
        <f t="shared" si="207"/>
        <v>57982.712134614943</v>
      </c>
    </row>
    <row r="391" spans="1:7" x14ac:dyDescent="0.25">
      <c r="A391" s="91" t="s">
        <v>123</v>
      </c>
      <c r="B391" s="84">
        <v>2039</v>
      </c>
      <c r="C391" s="96">
        <f t="shared" si="208"/>
        <v>57982.712134614943</v>
      </c>
      <c r="D391" s="96">
        <f t="shared" si="205"/>
        <v>2116.1259343750858</v>
      </c>
      <c r="E391" s="96">
        <f t="shared" si="209"/>
        <v>241.59463389422893</v>
      </c>
      <c r="F391" s="96">
        <f t="shared" si="210"/>
        <v>2357.7205682693148</v>
      </c>
      <c r="G391" s="96">
        <f t="shared" si="207"/>
        <v>55866.586200239857</v>
      </c>
    </row>
    <row r="392" spans="1:7" x14ac:dyDescent="0.25">
      <c r="A392" s="91" t="s">
        <v>124</v>
      </c>
      <c r="B392" s="84">
        <v>2039</v>
      </c>
      <c r="C392" s="96">
        <f t="shared" si="208"/>
        <v>55866.586200239857</v>
      </c>
      <c r="D392" s="96">
        <f t="shared" si="205"/>
        <v>2124.9431257683154</v>
      </c>
      <c r="E392" s="96">
        <f t="shared" si="209"/>
        <v>232.7774425009994</v>
      </c>
      <c r="F392" s="96">
        <f t="shared" si="210"/>
        <v>2357.7205682693148</v>
      </c>
      <c r="G392" s="97">
        <f t="shared" si="207"/>
        <v>53741.64307447154</v>
      </c>
    </row>
    <row r="393" spans="1:7" x14ac:dyDescent="0.25">
      <c r="B393" s="89"/>
      <c r="C393" s="98"/>
      <c r="D393" s="97">
        <f t="shared" ref="D393:E393" si="211">SUM(D381:D392)</f>
        <v>24925.357116934581</v>
      </c>
      <c r="E393" s="97">
        <f t="shared" si="211"/>
        <v>3367.289702297192</v>
      </c>
    </row>
    <row r="394" spans="1:7" x14ac:dyDescent="0.25">
      <c r="B394" s="89"/>
    </row>
    <row r="395" spans="1:7" x14ac:dyDescent="0.25">
      <c r="A395" s="91" t="s">
        <v>113</v>
      </c>
      <c r="B395" s="89">
        <v>2040</v>
      </c>
      <c r="C395" s="96">
        <f t="shared" ref="C395" si="212">+G392</f>
        <v>53741.64307447154</v>
      </c>
      <c r="D395" s="96">
        <f t="shared" ref="D395:D406" si="213">+F395-E395</f>
        <v>2133.7970554590165</v>
      </c>
      <c r="E395" s="96">
        <f>+C395*$J$5</f>
        <v>223.92351281029809</v>
      </c>
      <c r="F395" s="96">
        <f t="shared" ref="F395" si="214">+F392</f>
        <v>2357.7205682693148</v>
      </c>
      <c r="G395" s="96">
        <f t="shared" ref="G395:G406" si="215">+C395-D395</f>
        <v>51607.846019012526</v>
      </c>
    </row>
    <row r="396" spans="1:7" x14ac:dyDescent="0.25">
      <c r="A396" s="91" t="s">
        <v>114</v>
      </c>
      <c r="B396" s="89">
        <v>2040</v>
      </c>
      <c r="C396" s="96">
        <f t="shared" ref="C396:C406" si="216">+G395</f>
        <v>51607.846019012526</v>
      </c>
      <c r="D396" s="96">
        <f t="shared" si="213"/>
        <v>2142.6878765234292</v>
      </c>
      <c r="E396" s="96">
        <f t="shared" ref="E396:E406" si="217">+C396*$J$5</f>
        <v>215.03269174588553</v>
      </c>
      <c r="F396" s="96">
        <f t="shared" ref="F396:F406" si="218">+F395</f>
        <v>2357.7205682693148</v>
      </c>
      <c r="G396" s="96">
        <f t="shared" si="215"/>
        <v>49465.158142489097</v>
      </c>
    </row>
    <row r="397" spans="1:7" x14ac:dyDescent="0.25">
      <c r="A397" s="91" t="s">
        <v>115</v>
      </c>
      <c r="B397" s="89">
        <v>2040</v>
      </c>
      <c r="C397" s="96">
        <f t="shared" si="216"/>
        <v>49465.158142489097</v>
      </c>
      <c r="D397" s="96">
        <f t="shared" si="213"/>
        <v>2151.6157426756104</v>
      </c>
      <c r="E397" s="96">
        <f t="shared" si="217"/>
        <v>206.10482559370456</v>
      </c>
      <c r="F397" s="96">
        <f t="shared" si="218"/>
        <v>2357.7205682693148</v>
      </c>
      <c r="G397" s="96">
        <f t="shared" si="215"/>
        <v>47313.542399813487</v>
      </c>
    </row>
    <row r="398" spans="1:7" x14ac:dyDescent="0.25">
      <c r="A398" s="91" t="s">
        <v>116</v>
      </c>
      <c r="B398" s="89">
        <v>2040</v>
      </c>
      <c r="C398" s="96">
        <f t="shared" si="216"/>
        <v>47313.542399813487</v>
      </c>
      <c r="D398" s="96">
        <f t="shared" si="213"/>
        <v>2160.5808082700919</v>
      </c>
      <c r="E398" s="96">
        <f t="shared" si="217"/>
        <v>197.13975999922286</v>
      </c>
      <c r="F398" s="96">
        <f t="shared" si="218"/>
        <v>2357.7205682693148</v>
      </c>
      <c r="G398" s="96">
        <f t="shared" si="215"/>
        <v>45152.961591543397</v>
      </c>
    </row>
    <row r="399" spans="1:7" x14ac:dyDescent="0.25">
      <c r="A399" s="91" t="s">
        <v>117</v>
      </c>
      <c r="B399" s="89">
        <v>2040</v>
      </c>
      <c r="C399" s="96">
        <f t="shared" si="216"/>
        <v>45152.961591543397</v>
      </c>
      <c r="D399" s="96">
        <f t="shared" si="213"/>
        <v>2169.5832283045506</v>
      </c>
      <c r="E399" s="96">
        <f t="shared" si="217"/>
        <v>188.13733996476415</v>
      </c>
      <c r="F399" s="96">
        <f t="shared" si="218"/>
        <v>2357.7205682693148</v>
      </c>
      <c r="G399" s="96">
        <f t="shared" si="215"/>
        <v>42983.378363238844</v>
      </c>
    </row>
    <row r="400" spans="1:7" x14ac:dyDescent="0.25">
      <c r="A400" s="91" t="s">
        <v>118</v>
      </c>
      <c r="B400" s="89">
        <v>2040</v>
      </c>
      <c r="C400" s="96">
        <f t="shared" si="216"/>
        <v>42983.378363238844</v>
      </c>
      <c r="D400" s="96">
        <f t="shared" si="213"/>
        <v>2178.6231584224861</v>
      </c>
      <c r="E400" s="96">
        <f t="shared" si="217"/>
        <v>179.09740984682853</v>
      </c>
      <c r="F400" s="96">
        <f t="shared" si="218"/>
        <v>2357.7205682693148</v>
      </c>
      <c r="G400" s="96">
        <f t="shared" si="215"/>
        <v>40804.755204816356</v>
      </c>
    </row>
    <row r="401" spans="1:7" x14ac:dyDescent="0.25">
      <c r="A401" s="91" t="s">
        <v>119</v>
      </c>
      <c r="B401" s="89">
        <v>2040</v>
      </c>
      <c r="C401" s="96">
        <f t="shared" si="216"/>
        <v>40804.755204816356</v>
      </c>
      <c r="D401" s="96">
        <f t="shared" si="213"/>
        <v>2187.7007549159134</v>
      </c>
      <c r="E401" s="96">
        <f t="shared" si="217"/>
        <v>170.01981335340147</v>
      </c>
      <c r="F401" s="96">
        <f t="shared" si="218"/>
        <v>2357.7205682693148</v>
      </c>
      <c r="G401" s="96">
        <f t="shared" si="215"/>
        <v>38617.054449900446</v>
      </c>
    </row>
    <row r="402" spans="1:7" x14ac:dyDescent="0.25">
      <c r="A402" s="91" t="s">
        <v>120</v>
      </c>
      <c r="B402" s="89">
        <v>2040</v>
      </c>
      <c r="C402" s="96">
        <f t="shared" si="216"/>
        <v>38617.054449900446</v>
      </c>
      <c r="D402" s="96">
        <f t="shared" si="213"/>
        <v>2196.8161747280628</v>
      </c>
      <c r="E402" s="96">
        <f t="shared" si="217"/>
        <v>160.90439354125186</v>
      </c>
      <c r="F402" s="96">
        <f t="shared" si="218"/>
        <v>2357.7205682693148</v>
      </c>
      <c r="G402" s="96">
        <f t="shared" si="215"/>
        <v>36420.238275172385</v>
      </c>
    </row>
    <row r="403" spans="1:7" x14ac:dyDescent="0.25">
      <c r="A403" s="91" t="s">
        <v>121</v>
      </c>
      <c r="B403" s="89">
        <v>2040</v>
      </c>
      <c r="C403" s="96">
        <f t="shared" si="216"/>
        <v>36420.238275172385</v>
      </c>
      <c r="D403" s="96">
        <f t="shared" si="213"/>
        <v>2205.9695754560967</v>
      </c>
      <c r="E403" s="96">
        <f t="shared" si="217"/>
        <v>151.75099281321826</v>
      </c>
      <c r="F403" s="96">
        <f t="shared" si="218"/>
        <v>2357.7205682693148</v>
      </c>
      <c r="G403" s="96">
        <f t="shared" si="215"/>
        <v>34214.268699716289</v>
      </c>
    </row>
    <row r="404" spans="1:7" x14ac:dyDescent="0.25">
      <c r="A404" s="91" t="s">
        <v>122</v>
      </c>
      <c r="B404" s="89">
        <v>2040</v>
      </c>
      <c r="C404" s="96">
        <f t="shared" si="216"/>
        <v>34214.268699716289</v>
      </c>
      <c r="D404" s="96">
        <f t="shared" si="213"/>
        <v>2215.1611153538302</v>
      </c>
      <c r="E404" s="96">
        <f t="shared" si="217"/>
        <v>142.55945291548454</v>
      </c>
      <c r="F404" s="96">
        <f t="shared" si="218"/>
        <v>2357.7205682693148</v>
      </c>
      <c r="G404" s="96">
        <f t="shared" si="215"/>
        <v>31999.10758436246</v>
      </c>
    </row>
    <row r="405" spans="1:7" x14ac:dyDescent="0.25">
      <c r="A405" s="91" t="s">
        <v>123</v>
      </c>
      <c r="B405" s="89">
        <v>2040</v>
      </c>
      <c r="C405" s="96">
        <f t="shared" si="216"/>
        <v>31999.10758436246</v>
      </c>
      <c r="D405" s="96">
        <f t="shared" si="213"/>
        <v>2224.3909533344713</v>
      </c>
      <c r="E405" s="96">
        <f t="shared" si="217"/>
        <v>133.32961493484359</v>
      </c>
      <c r="F405" s="96">
        <f t="shared" si="218"/>
        <v>2357.7205682693148</v>
      </c>
      <c r="G405" s="96">
        <f t="shared" si="215"/>
        <v>29774.71663102799</v>
      </c>
    </row>
    <row r="406" spans="1:7" x14ac:dyDescent="0.25">
      <c r="A406" s="91" t="s">
        <v>124</v>
      </c>
      <c r="B406" s="89">
        <v>2040</v>
      </c>
      <c r="C406" s="96">
        <f t="shared" si="216"/>
        <v>29774.71663102799</v>
      </c>
      <c r="D406" s="96">
        <f t="shared" si="213"/>
        <v>2233.6592489733648</v>
      </c>
      <c r="E406" s="96">
        <f t="shared" si="217"/>
        <v>124.06131929594996</v>
      </c>
      <c r="F406" s="96">
        <f t="shared" si="218"/>
        <v>2357.7205682693148</v>
      </c>
      <c r="G406" s="97">
        <f t="shared" si="215"/>
        <v>27541.057382054627</v>
      </c>
    </row>
    <row r="407" spans="1:7" x14ac:dyDescent="0.25">
      <c r="B407" s="89"/>
      <c r="C407" s="97"/>
      <c r="D407" s="97">
        <f t="shared" ref="D407:E407" si="219">SUM(D395:D406)</f>
        <v>26200.58569241692</v>
      </c>
      <c r="E407" s="97">
        <f t="shared" si="219"/>
        <v>2092.0611268148537</v>
      </c>
      <c r="F407" s="96"/>
      <c r="G407" s="96"/>
    </row>
    <row r="408" spans="1:7" x14ac:dyDescent="0.25">
      <c r="B408" s="89"/>
      <c r="C408" s="96"/>
      <c r="D408" s="96"/>
      <c r="E408" s="96"/>
      <c r="F408" s="96"/>
      <c r="G408" s="96"/>
    </row>
    <row r="409" spans="1:7" x14ac:dyDescent="0.25">
      <c r="A409" s="91" t="s">
        <v>113</v>
      </c>
      <c r="B409" s="89">
        <v>2041</v>
      </c>
      <c r="C409" s="96">
        <f t="shared" ref="C409" si="220">+G406</f>
        <v>27541.057382054627</v>
      </c>
      <c r="D409" s="96">
        <f t="shared" ref="D409:D420" si="221">+F409-E409</f>
        <v>2242.9661625107537</v>
      </c>
      <c r="E409" s="96">
        <f>+C409*$J$5</f>
        <v>114.75440575856095</v>
      </c>
      <c r="F409" s="96">
        <f t="shared" ref="F409" si="222">+F406</f>
        <v>2357.7205682693148</v>
      </c>
      <c r="G409" s="96">
        <f t="shared" ref="G409:G420" si="223">+C409-D409</f>
        <v>25298.091219543872</v>
      </c>
    </row>
    <row r="410" spans="1:7" x14ac:dyDescent="0.25">
      <c r="A410" s="91" t="s">
        <v>114</v>
      </c>
      <c r="B410" s="89">
        <v>2041</v>
      </c>
      <c r="C410" s="96">
        <f t="shared" ref="C410:C420" si="224">+G409</f>
        <v>25298.091219543872</v>
      </c>
      <c r="D410" s="96">
        <f t="shared" si="221"/>
        <v>2252.3118548545485</v>
      </c>
      <c r="E410" s="96">
        <f t="shared" ref="E410:E420" si="225">+C410*$J$5</f>
        <v>105.40871341476613</v>
      </c>
      <c r="F410" s="96">
        <f t="shared" ref="F410:F420" si="226">+F409</f>
        <v>2357.7205682693148</v>
      </c>
      <c r="G410" s="96">
        <f t="shared" si="223"/>
        <v>23045.779364689322</v>
      </c>
    </row>
    <row r="411" spans="1:7" x14ac:dyDescent="0.25">
      <c r="A411" s="91" t="s">
        <v>115</v>
      </c>
      <c r="B411" s="89">
        <v>2041</v>
      </c>
      <c r="C411" s="96">
        <f t="shared" si="224"/>
        <v>23045.779364689322</v>
      </c>
      <c r="D411" s="96">
        <f t="shared" si="221"/>
        <v>2261.696487583109</v>
      </c>
      <c r="E411" s="96">
        <f t="shared" si="225"/>
        <v>96.024080686205508</v>
      </c>
      <c r="F411" s="96">
        <f t="shared" si="226"/>
        <v>2357.7205682693148</v>
      </c>
      <c r="G411" s="96">
        <f t="shared" si="223"/>
        <v>20784.082877106215</v>
      </c>
    </row>
    <row r="412" spans="1:7" x14ac:dyDescent="0.25">
      <c r="A412" s="91" t="s">
        <v>116</v>
      </c>
      <c r="B412" s="89">
        <v>2041</v>
      </c>
      <c r="C412" s="96">
        <f t="shared" si="224"/>
        <v>20784.082877106215</v>
      </c>
      <c r="D412" s="96">
        <f t="shared" si="221"/>
        <v>2271.1202229480386</v>
      </c>
      <c r="E412" s="96">
        <f t="shared" si="225"/>
        <v>86.600345321275896</v>
      </c>
      <c r="F412" s="96">
        <f t="shared" si="226"/>
        <v>2357.7205682693148</v>
      </c>
      <c r="G412" s="96">
        <f t="shared" si="223"/>
        <v>18512.962654158175</v>
      </c>
    </row>
    <row r="413" spans="1:7" x14ac:dyDescent="0.25">
      <c r="A413" s="91" t="s">
        <v>117</v>
      </c>
      <c r="B413" s="89">
        <v>2041</v>
      </c>
      <c r="C413" s="96">
        <f t="shared" si="224"/>
        <v>18512.962654158175</v>
      </c>
      <c r="D413" s="96">
        <f t="shared" si="221"/>
        <v>2280.583223876989</v>
      </c>
      <c r="E413" s="96">
        <f t="shared" si="225"/>
        <v>77.13734439232573</v>
      </c>
      <c r="F413" s="96">
        <f t="shared" si="226"/>
        <v>2357.7205682693148</v>
      </c>
      <c r="G413" s="96">
        <f t="shared" si="223"/>
        <v>16232.379430281186</v>
      </c>
    </row>
    <row r="414" spans="1:7" x14ac:dyDescent="0.25">
      <c r="A414" s="91" t="s">
        <v>118</v>
      </c>
      <c r="B414" s="89">
        <v>2041</v>
      </c>
      <c r="C414" s="96">
        <f t="shared" si="224"/>
        <v>16232.379430281186</v>
      </c>
      <c r="D414" s="96">
        <f t="shared" si="221"/>
        <v>2290.0856539764764</v>
      </c>
      <c r="E414" s="96">
        <f t="shared" si="225"/>
        <v>67.634914292838275</v>
      </c>
      <c r="F414" s="96">
        <f t="shared" si="226"/>
        <v>2357.7205682693148</v>
      </c>
      <c r="G414" s="96">
        <f t="shared" si="223"/>
        <v>13942.293776304708</v>
      </c>
    </row>
    <row r="415" spans="1:7" x14ac:dyDescent="0.25">
      <c r="A415" s="91" t="s">
        <v>119</v>
      </c>
      <c r="B415" s="89">
        <v>2041</v>
      </c>
      <c r="C415" s="96">
        <f t="shared" si="224"/>
        <v>13942.293776304708</v>
      </c>
      <c r="D415" s="96">
        <f t="shared" si="221"/>
        <v>2299.6276775347119</v>
      </c>
      <c r="E415" s="96">
        <f t="shared" si="225"/>
        <v>58.092890734602953</v>
      </c>
      <c r="F415" s="96">
        <f t="shared" si="226"/>
        <v>2357.7205682693148</v>
      </c>
      <c r="G415" s="96">
        <f t="shared" si="223"/>
        <v>11642.666098769996</v>
      </c>
    </row>
    <row r="416" spans="1:7" x14ac:dyDescent="0.25">
      <c r="A416" s="91" t="s">
        <v>120</v>
      </c>
      <c r="B416" s="89">
        <v>2041</v>
      </c>
      <c r="C416" s="96">
        <f t="shared" si="224"/>
        <v>11642.666098769996</v>
      </c>
      <c r="D416" s="96">
        <f t="shared" si="221"/>
        <v>2309.2094595244398</v>
      </c>
      <c r="E416" s="96">
        <f t="shared" si="225"/>
        <v>48.511108744874981</v>
      </c>
      <c r="F416" s="96">
        <f t="shared" si="226"/>
        <v>2357.7205682693148</v>
      </c>
      <c r="G416" s="96">
        <f t="shared" si="223"/>
        <v>9333.4566392455563</v>
      </c>
    </row>
    <row r="417" spans="1:7" x14ac:dyDescent="0.25">
      <c r="A417" s="91" t="s">
        <v>121</v>
      </c>
      <c r="B417" s="89">
        <v>2041</v>
      </c>
      <c r="C417" s="96">
        <f t="shared" si="224"/>
        <v>9333.4566392455563</v>
      </c>
      <c r="D417" s="96">
        <f t="shared" si="221"/>
        <v>2318.8311656057917</v>
      </c>
      <c r="E417" s="96">
        <f t="shared" si="225"/>
        <v>38.88940266352315</v>
      </c>
      <c r="F417" s="96">
        <f t="shared" si="226"/>
        <v>2357.7205682693148</v>
      </c>
      <c r="G417" s="96">
        <f t="shared" si="223"/>
        <v>7014.6254736397641</v>
      </c>
    </row>
    <row r="418" spans="1:7" x14ac:dyDescent="0.25">
      <c r="A418" s="91" t="s">
        <v>122</v>
      </c>
      <c r="B418" s="89">
        <v>2041</v>
      </c>
      <c r="C418" s="96">
        <f t="shared" si="224"/>
        <v>7014.6254736397641</v>
      </c>
      <c r="D418" s="96">
        <f t="shared" si="221"/>
        <v>2328.492962129149</v>
      </c>
      <c r="E418" s="96">
        <f t="shared" si="225"/>
        <v>29.227606140165683</v>
      </c>
      <c r="F418" s="96">
        <f t="shared" si="226"/>
        <v>2357.7205682693148</v>
      </c>
      <c r="G418" s="96">
        <f t="shared" si="223"/>
        <v>4686.1325115106156</v>
      </c>
    </row>
    <row r="419" spans="1:7" x14ac:dyDescent="0.25">
      <c r="A419" s="91" t="s">
        <v>123</v>
      </c>
      <c r="B419" s="89">
        <v>2041</v>
      </c>
      <c r="C419" s="96">
        <f t="shared" si="224"/>
        <v>4686.1325115106156</v>
      </c>
      <c r="D419" s="96">
        <f t="shared" si="221"/>
        <v>2338.1950161380205</v>
      </c>
      <c r="E419" s="96">
        <f t="shared" si="225"/>
        <v>19.52555213129423</v>
      </c>
      <c r="F419" s="96">
        <f t="shared" si="226"/>
        <v>2357.7205682693148</v>
      </c>
      <c r="G419" s="96">
        <f t="shared" si="223"/>
        <v>2347.9374953725951</v>
      </c>
    </row>
    <row r="420" spans="1:7" x14ac:dyDescent="0.25">
      <c r="A420" s="91" t="s">
        <v>124</v>
      </c>
      <c r="B420" s="89">
        <v>2041</v>
      </c>
      <c r="C420" s="96">
        <f t="shared" si="224"/>
        <v>2347.9374953725951</v>
      </c>
      <c r="D420" s="96">
        <f t="shared" si="221"/>
        <v>2347.9374953719289</v>
      </c>
      <c r="E420" s="96">
        <f t="shared" si="225"/>
        <v>9.7830728973858125</v>
      </c>
      <c r="F420" s="96">
        <f t="shared" si="226"/>
        <v>2357.7205682693148</v>
      </c>
      <c r="G420" s="97">
        <f t="shared" si="223"/>
        <v>6.6620486904866993E-10</v>
      </c>
    </row>
    <row r="421" spans="1:7" x14ac:dyDescent="0.25">
      <c r="B421" s="89"/>
      <c r="C421" s="98"/>
      <c r="D421" s="97">
        <f t="shared" ref="D421:E421" si="227">SUM(D409:D420)</f>
        <v>27541.057382053958</v>
      </c>
      <c r="E421" s="97">
        <f t="shared" si="227"/>
        <v>751.58943717781938</v>
      </c>
    </row>
    <row r="422" spans="1:7" x14ac:dyDescent="0.25">
      <c r="B422" s="89"/>
    </row>
    <row r="423" spans="1:7" x14ac:dyDescent="0.25">
      <c r="B423" s="89"/>
      <c r="C423" s="96"/>
      <c r="D423" s="96"/>
      <c r="E423" s="96"/>
      <c r="F423" s="96"/>
      <c r="G423" s="96"/>
    </row>
    <row r="424" spans="1:7" x14ac:dyDescent="0.25">
      <c r="B424" s="84"/>
      <c r="C424" s="96"/>
      <c r="D424" s="96"/>
      <c r="E424" s="96"/>
      <c r="F424" s="96"/>
      <c r="G424" s="96"/>
    </row>
    <row r="425" spans="1:7" x14ac:dyDescent="0.25">
      <c r="B425" s="84"/>
      <c r="C425" s="96"/>
      <c r="D425" s="96"/>
      <c r="E425" s="96"/>
      <c r="F425" s="96"/>
      <c r="G425" s="96"/>
    </row>
    <row r="426" spans="1:7" x14ac:dyDescent="0.25">
      <c r="B426" s="84"/>
      <c r="C426" s="96"/>
      <c r="D426" s="96"/>
      <c r="E426" s="96"/>
      <c r="F426" s="96"/>
      <c r="G426" s="96"/>
    </row>
    <row r="427" spans="1:7" x14ac:dyDescent="0.25">
      <c r="B427" s="84"/>
      <c r="C427" s="96"/>
      <c r="D427" s="96"/>
      <c r="E427" s="96"/>
      <c r="F427" s="96"/>
      <c r="G427" s="96"/>
    </row>
    <row r="428" spans="1:7" x14ac:dyDescent="0.25">
      <c r="B428" s="84"/>
      <c r="C428" s="96"/>
      <c r="D428" s="96"/>
      <c r="E428" s="96"/>
      <c r="F428" s="96"/>
      <c r="G428" s="96"/>
    </row>
    <row r="429" spans="1:7" x14ac:dyDescent="0.25">
      <c r="B429" s="84"/>
      <c r="C429" s="96"/>
      <c r="D429" s="96"/>
      <c r="E429" s="96"/>
      <c r="F429" s="96"/>
      <c r="G429" s="96"/>
    </row>
    <row r="430" spans="1:7" x14ac:dyDescent="0.25">
      <c r="B430" s="84"/>
      <c r="C430" s="96"/>
      <c r="D430" s="96"/>
      <c r="E430" s="96"/>
      <c r="F430" s="96"/>
      <c r="G430" s="96"/>
    </row>
    <row r="431" spans="1:7" x14ac:dyDescent="0.25">
      <c r="B431" s="84"/>
      <c r="C431" s="96"/>
      <c r="D431" s="96"/>
      <c r="E431" s="96"/>
      <c r="F431" s="96"/>
      <c r="G431" s="96"/>
    </row>
    <row r="432" spans="1:7" x14ac:dyDescent="0.25">
      <c r="B432" s="84"/>
      <c r="C432" s="96"/>
      <c r="D432" s="96"/>
      <c r="E432" s="96"/>
      <c r="F432" s="96"/>
      <c r="G432" s="96"/>
    </row>
    <row r="433" spans="2:7" x14ac:dyDescent="0.25">
      <c r="B433" s="84"/>
      <c r="C433" s="96"/>
      <c r="D433" s="96"/>
      <c r="E433" s="96"/>
      <c r="F433" s="96"/>
      <c r="G433" s="96"/>
    </row>
    <row r="434" spans="2:7" x14ac:dyDescent="0.25">
      <c r="B434" s="84"/>
      <c r="C434" s="96"/>
      <c r="D434" s="96"/>
      <c r="E434" s="96"/>
      <c r="F434" s="96"/>
      <c r="G434" s="97"/>
    </row>
    <row r="435" spans="2:7" x14ac:dyDescent="0.25">
      <c r="B435" s="94"/>
      <c r="C435" s="97"/>
      <c r="D435" s="97"/>
      <c r="E435" s="97"/>
      <c r="F435" s="96"/>
      <c r="G435" s="96"/>
    </row>
    <row r="436" spans="2:7" x14ac:dyDescent="0.25">
      <c r="B436" s="84"/>
      <c r="C436" s="96"/>
      <c r="D436" s="96"/>
      <c r="E436" s="96"/>
      <c r="F436" s="96"/>
      <c r="G436" s="96"/>
    </row>
    <row r="437" spans="2:7" x14ac:dyDescent="0.25">
      <c r="B437" s="84"/>
      <c r="C437" s="96"/>
      <c r="D437" s="96"/>
      <c r="E437" s="96"/>
      <c r="F437" s="96"/>
      <c r="G437" s="96"/>
    </row>
    <row r="438" spans="2:7" x14ac:dyDescent="0.25">
      <c r="B438" s="84"/>
      <c r="C438" s="96"/>
      <c r="D438" s="96"/>
      <c r="E438" s="96"/>
      <c r="F438" s="96"/>
      <c r="G438" s="96"/>
    </row>
    <row r="439" spans="2:7" x14ac:dyDescent="0.25">
      <c r="B439" s="84"/>
      <c r="C439" s="96"/>
      <c r="D439" s="96"/>
      <c r="E439" s="96"/>
      <c r="F439" s="96"/>
      <c r="G439" s="96"/>
    </row>
    <row r="440" spans="2:7" x14ac:dyDescent="0.25">
      <c r="B440" s="84"/>
      <c r="C440" s="96"/>
      <c r="D440" s="96"/>
      <c r="E440" s="96"/>
      <c r="F440" s="96"/>
      <c r="G440" s="96"/>
    </row>
    <row r="441" spans="2:7" x14ac:dyDescent="0.25">
      <c r="B441" s="84"/>
      <c r="C441" s="96"/>
      <c r="D441" s="96"/>
      <c r="E441" s="96"/>
      <c r="F441" s="96"/>
      <c r="G441" s="96"/>
    </row>
    <row r="442" spans="2:7" x14ac:dyDescent="0.25">
      <c r="B442" s="84"/>
      <c r="C442" s="96"/>
      <c r="D442" s="96"/>
      <c r="E442" s="96"/>
      <c r="F442" s="96"/>
      <c r="G442" s="96"/>
    </row>
    <row r="443" spans="2:7" x14ac:dyDescent="0.25">
      <c r="B443" s="84"/>
      <c r="C443" s="96"/>
      <c r="D443" s="96"/>
      <c r="E443" s="96"/>
      <c r="F443" s="96"/>
      <c r="G443" s="96"/>
    </row>
    <row r="444" spans="2:7" x14ac:dyDescent="0.25">
      <c r="B444" s="84"/>
      <c r="C444" s="96"/>
      <c r="D444" s="96"/>
      <c r="E444" s="96"/>
      <c r="F444" s="96"/>
      <c r="G444" s="96"/>
    </row>
    <row r="445" spans="2:7" x14ac:dyDescent="0.25">
      <c r="B445" s="84"/>
      <c r="C445" s="96"/>
      <c r="D445" s="96"/>
      <c r="E445" s="96"/>
      <c r="F445" s="96"/>
      <c r="G445" s="96"/>
    </row>
    <row r="446" spans="2:7" x14ac:dyDescent="0.25">
      <c r="B446" s="84"/>
      <c r="C446" s="96"/>
      <c r="D446" s="96"/>
      <c r="E446" s="96"/>
      <c r="F446" s="96"/>
      <c r="G446" s="96"/>
    </row>
    <row r="447" spans="2:7" x14ac:dyDescent="0.25">
      <c r="B447" s="84"/>
      <c r="C447" s="96"/>
      <c r="D447" s="96"/>
      <c r="E447" s="96"/>
      <c r="F447" s="96"/>
      <c r="G447" s="96"/>
    </row>
    <row r="448" spans="2:7" x14ac:dyDescent="0.25">
      <c r="B448" s="84"/>
      <c r="C448" s="96"/>
      <c r="D448" s="96"/>
      <c r="E448" s="96"/>
      <c r="F448" s="96"/>
      <c r="G448" s="97"/>
    </row>
    <row r="449" spans="2:7" x14ac:dyDescent="0.25">
      <c r="B449" s="94"/>
      <c r="C449" s="98"/>
      <c r="D449" s="97"/>
      <c r="E449" s="97"/>
    </row>
    <row r="451" spans="2:7" x14ac:dyDescent="0.25">
      <c r="B451" s="84"/>
      <c r="C451" s="96"/>
      <c r="D451" s="96"/>
      <c r="E451" s="96"/>
      <c r="F451" s="96"/>
      <c r="G451" s="96"/>
    </row>
    <row r="452" spans="2:7" x14ac:dyDescent="0.25">
      <c r="B452" s="84"/>
      <c r="C452" s="96"/>
      <c r="D452" s="96"/>
      <c r="E452" s="96"/>
      <c r="F452" s="96"/>
      <c r="G452" s="96"/>
    </row>
    <row r="453" spans="2:7" x14ac:dyDescent="0.25">
      <c r="B453" s="84"/>
      <c r="C453" s="96"/>
      <c r="D453" s="96"/>
      <c r="E453" s="96"/>
      <c r="F453" s="96"/>
      <c r="G453" s="96"/>
    </row>
    <row r="454" spans="2:7" x14ac:dyDescent="0.25">
      <c r="B454" s="84"/>
      <c r="C454" s="96"/>
      <c r="D454" s="96"/>
      <c r="E454" s="96"/>
      <c r="F454" s="96"/>
      <c r="G454" s="96"/>
    </row>
    <row r="455" spans="2:7" x14ac:dyDescent="0.25">
      <c r="B455" s="84"/>
      <c r="C455" s="96"/>
      <c r="D455" s="96"/>
      <c r="E455" s="96"/>
      <c r="F455" s="96"/>
      <c r="G455" s="96"/>
    </row>
    <row r="456" spans="2:7" x14ac:dyDescent="0.25">
      <c r="B456" s="84"/>
      <c r="C456" s="96"/>
      <c r="D456" s="96"/>
      <c r="E456" s="96"/>
      <c r="F456" s="96"/>
      <c r="G456" s="96"/>
    </row>
    <row r="457" spans="2:7" x14ac:dyDescent="0.25">
      <c r="B457" s="84"/>
      <c r="C457" s="96"/>
      <c r="D457" s="96"/>
      <c r="E457" s="96"/>
      <c r="F457" s="96"/>
      <c r="G457" s="96"/>
    </row>
    <row r="458" spans="2:7" x14ac:dyDescent="0.25">
      <c r="B458" s="84"/>
      <c r="C458" s="96"/>
      <c r="D458" s="96"/>
      <c r="E458" s="96"/>
      <c r="F458" s="96"/>
      <c r="G458" s="96"/>
    </row>
    <row r="459" spans="2:7" x14ac:dyDescent="0.25">
      <c r="B459" s="84"/>
      <c r="C459" s="96"/>
      <c r="D459" s="96"/>
      <c r="E459" s="96"/>
      <c r="F459" s="96"/>
      <c r="G459" s="96"/>
    </row>
    <row r="460" spans="2:7" x14ac:dyDescent="0.25">
      <c r="B460" s="84"/>
      <c r="C460" s="96"/>
      <c r="D460" s="96"/>
      <c r="E460" s="96"/>
      <c r="F460" s="96"/>
      <c r="G460" s="96"/>
    </row>
    <row r="461" spans="2:7" x14ac:dyDescent="0.25">
      <c r="B461" s="84"/>
      <c r="C461" s="96"/>
      <c r="D461" s="96"/>
      <c r="E461" s="96"/>
      <c r="F461" s="96"/>
      <c r="G461" s="96"/>
    </row>
    <row r="462" spans="2:7" x14ac:dyDescent="0.25">
      <c r="B462" s="84"/>
      <c r="C462" s="96"/>
      <c r="D462" s="96"/>
      <c r="E462" s="96"/>
      <c r="F462" s="96"/>
      <c r="G462" s="97"/>
    </row>
    <row r="463" spans="2:7" x14ac:dyDescent="0.25">
      <c r="B463" s="94"/>
      <c r="C463" s="97"/>
      <c r="D463" s="97"/>
      <c r="E463" s="97"/>
      <c r="F463" s="96"/>
      <c r="G463" s="96"/>
    </row>
    <row r="464" spans="2:7" x14ac:dyDescent="0.25">
      <c r="B464" s="84"/>
      <c r="C464" s="96"/>
      <c r="D464" s="96"/>
      <c r="E464" s="96"/>
      <c r="F464" s="96"/>
      <c r="G464" s="96"/>
    </row>
    <row r="465" spans="2:7" x14ac:dyDescent="0.25">
      <c r="B465" s="84"/>
      <c r="C465" s="96"/>
      <c r="D465" s="96"/>
      <c r="E465" s="96"/>
      <c r="F465" s="96"/>
      <c r="G465" s="96"/>
    </row>
    <row r="466" spans="2:7" x14ac:dyDescent="0.25">
      <c r="B466" s="84"/>
      <c r="C466" s="96"/>
      <c r="D466" s="96"/>
      <c r="E466" s="96"/>
      <c r="F466" s="96"/>
      <c r="G466" s="96"/>
    </row>
    <row r="467" spans="2:7" x14ac:dyDescent="0.25">
      <c r="B467" s="84"/>
      <c r="C467" s="96"/>
      <c r="D467" s="96"/>
      <c r="E467" s="96"/>
      <c r="F467" s="96"/>
      <c r="G467" s="96"/>
    </row>
    <row r="468" spans="2:7" x14ac:dyDescent="0.25">
      <c r="B468" s="84"/>
      <c r="C468" s="96"/>
      <c r="D468" s="96"/>
      <c r="E468" s="96"/>
      <c r="F468" s="96"/>
      <c r="G468" s="96"/>
    </row>
    <row r="469" spans="2:7" x14ac:dyDescent="0.25">
      <c r="B469" s="84"/>
      <c r="C469" s="96"/>
      <c r="D469" s="96"/>
      <c r="E469" s="96"/>
      <c r="F469" s="96"/>
      <c r="G469" s="96"/>
    </row>
    <row r="470" spans="2:7" x14ac:dyDescent="0.25">
      <c r="B470" s="84"/>
      <c r="C470" s="96"/>
      <c r="D470" s="96"/>
      <c r="E470" s="96"/>
      <c r="F470" s="96"/>
      <c r="G470" s="96"/>
    </row>
    <row r="471" spans="2:7" x14ac:dyDescent="0.25">
      <c r="B471" s="84"/>
      <c r="C471" s="96"/>
      <c r="D471" s="96"/>
      <c r="E471" s="96"/>
      <c r="F471" s="96"/>
      <c r="G471" s="96"/>
    </row>
    <row r="472" spans="2:7" x14ac:dyDescent="0.25">
      <c r="B472" s="84"/>
      <c r="C472" s="96"/>
      <c r="D472" s="96"/>
      <c r="E472" s="96"/>
      <c r="F472" s="96"/>
      <c r="G472" s="96"/>
    </row>
    <row r="473" spans="2:7" x14ac:dyDescent="0.25">
      <c r="B473" s="84"/>
      <c r="C473" s="96"/>
      <c r="D473" s="96"/>
      <c r="E473" s="96"/>
      <c r="F473" s="96"/>
      <c r="G473" s="96"/>
    </row>
    <row r="474" spans="2:7" x14ac:dyDescent="0.25">
      <c r="B474" s="84"/>
      <c r="C474" s="96"/>
      <c r="D474" s="96"/>
      <c r="E474" s="96"/>
      <c r="F474" s="96"/>
      <c r="G474" s="96"/>
    </row>
    <row r="475" spans="2:7" x14ac:dyDescent="0.25">
      <c r="B475" s="84"/>
      <c r="C475" s="96"/>
      <c r="D475" s="96"/>
      <c r="E475" s="96"/>
      <c r="F475" s="96"/>
      <c r="G475" s="96"/>
    </row>
    <row r="476" spans="2:7" x14ac:dyDescent="0.25">
      <c r="B476" s="84"/>
      <c r="C476" s="96"/>
      <c r="D476" s="96"/>
      <c r="E476" s="96"/>
      <c r="F476" s="96"/>
      <c r="G476" s="97"/>
    </row>
    <row r="477" spans="2:7" x14ac:dyDescent="0.25">
      <c r="B477" s="94"/>
      <c r="C477" s="98"/>
      <c r="D477" s="97"/>
      <c r="E477" s="97"/>
    </row>
    <row r="479" spans="2:7" x14ac:dyDescent="0.25">
      <c r="B479" s="84"/>
      <c r="C479" s="96"/>
      <c r="D479" s="96"/>
      <c r="E479" s="96"/>
      <c r="F479" s="96"/>
      <c r="G479" s="96"/>
    </row>
    <row r="480" spans="2:7" x14ac:dyDescent="0.25">
      <c r="B480" s="84"/>
      <c r="C480" s="96"/>
      <c r="D480" s="96"/>
      <c r="E480" s="96"/>
      <c r="F480" s="96"/>
      <c r="G480" s="96"/>
    </row>
    <row r="481" spans="2:7" x14ac:dyDescent="0.25">
      <c r="B481" s="84"/>
      <c r="C481" s="96"/>
      <c r="D481" s="96"/>
      <c r="E481" s="96"/>
      <c r="F481" s="96"/>
      <c r="G481" s="96"/>
    </row>
    <row r="482" spans="2:7" x14ac:dyDescent="0.25">
      <c r="B482" s="84"/>
      <c r="C482" s="96"/>
      <c r="D482" s="96"/>
      <c r="E482" s="96"/>
      <c r="F482" s="96"/>
      <c r="G482" s="96"/>
    </row>
    <row r="483" spans="2:7" x14ac:dyDescent="0.25">
      <c r="B483" s="84"/>
      <c r="C483" s="96"/>
      <c r="D483" s="96"/>
      <c r="E483" s="96"/>
      <c r="F483" s="96"/>
      <c r="G483" s="96"/>
    </row>
    <row r="484" spans="2:7" x14ac:dyDescent="0.25">
      <c r="B484" s="84"/>
      <c r="C484" s="96"/>
      <c r="D484" s="96"/>
      <c r="E484" s="96"/>
      <c r="F484" s="96"/>
      <c r="G484" s="96"/>
    </row>
    <row r="485" spans="2:7" x14ac:dyDescent="0.25">
      <c r="B485" s="84"/>
      <c r="C485" s="96"/>
      <c r="D485" s="96"/>
      <c r="E485" s="96"/>
      <c r="F485" s="96"/>
      <c r="G485" s="96"/>
    </row>
    <row r="486" spans="2:7" x14ac:dyDescent="0.25">
      <c r="B486" s="84"/>
      <c r="C486" s="96"/>
      <c r="D486" s="96"/>
      <c r="E486" s="96"/>
      <c r="F486" s="96"/>
      <c r="G486" s="96"/>
    </row>
    <row r="487" spans="2:7" x14ac:dyDescent="0.25">
      <c r="B487" s="84"/>
      <c r="C487" s="96"/>
      <c r="D487" s="96"/>
      <c r="E487" s="96"/>
      <c r="F487" s="96"/>
      <c r="G487" s="96"/>
    </row>
    <row r="488" spans="2:7" x14ac:dyDescent="0.25">
      <c r="B488" s="84"/>
      <c r="C488" s="96"/>
      <c r="D488" s="96"/>
      <c r="E488" s="96"/>
      <c r="F488" s="96"/>
      <c r="G488" s="96"/>
    </row>
    <row r="489" spans="2:7" x14ac:dyDescent="0.25">
      <c r="B489" s="84"/>
      <c r="C489" s="96"/>
      <c r="D489" s="96"/>
      <c r="E489" s="96"/>
      <c r="F489" s="96"/>
      <c r="G489" s="96"/>
    </row>
    <row r="490" spans="2:7" x14ac:dyDescent="0.25">
      <c r="B490" s="84"/>
      <c r="C490" s="96"/>
      <c r="D490" s="96"/>
      <c r="E490" s="96"/>
      <c r="F490" s="96"/>
      <c r="G490" s="97"/>
    </row>
    <row r="491" spans="2:7" x14ac:dyDescent="0.25">
      <c r="B491" s="94"/>
      <c r="C491" s="97"/>
      <c r="D491" s="97"/>
      <c r="E491" s="97"/>
      <c r="F491" s="96"/>
      <c r="G491" s="96"/>
    </row>
    <row r="492" spans="2:7" x14ac:dyDescent="0.25">
      <c r="B492" s="84"/>
      <c r="C492" s="96"/>
      <c r="D492" s="96"/>
      <c r="E492" s="96"/>
      <c r="F492" s="96"/>
      <c r="G492" s="96"/>
    </row>
    <row r="493" spans="2:7" x14ac:dyDescent="0.25">
      <c r="B493" s="84"/>
      <c r="C493" s="96"/>
      <c r="D493" s="96"/>
      <c r="E493" s="96"/>
      <c r="F493" s="96"/>
      <c r="G493" s="96"/>
    </row>
    <row r="494" spans="2:7" x14ac:dyDescent="0.25">
      <c r="B494" s="84"/>
      <c r="C494" s="96"/>
      <c r="D494" s="96"/>
      <c r="E494" s="96"/>
      <c r="F494" s="96"/>
      <c r="G494" s="96"/>
    </row>
    <row r="495" spans="2:7" x14ac:dyDescent="0.25">
      <c r="B495" s="84"/>
      <c r="C495" s="96"/>
      <c r="D495" s="96"/>
      <c r="E495" s="96"/>
      <c r="F495" s="96"/>
      <c r="G495" s="96"/>
    </row>
    <row r="496" spans="2:7" x14ac:dyDescent="0.25">
      <c r="B496" s="84"/>
      <c r="C496" s="96"/>
      <c r="D496" s="96"/>
      <c r="E496" s="96"/>
      <c r="F496" s="96"/>
      <c r="G496" s="96"/>
    </row>
    <row r="497" spans="2:7" x14ac:dyDescent="0.25">
      <c r="B497" s="84"/>
      <c r="C497" s="96"/>
      <c r="D497" s="96"/>
      <c r="E497" s="96"/>
      <c r="F497" s="96"/>
      <c r="G497" s="96"/>
    </row>
    <row r="498" spans="2:7" x14ac:dyDescent="0.25">
      <c r="B498" s="84"/>
      <c r="C498" s="96"/>
      <c r="D498" s="96"/>
      <c r="E498" s="96"/>
      <c r="F498" s="96"/>
      <c r="G498" s="96"/>
    </row>
    <row r="499" spans="2:7" x14ac:dyDescent="0.25">
      <c r="B499" s="84"/>
      <c r="C499" s="96"/>
      <c r="D499" s="96"/>
      <c r="E499" s="96"/>
      <c r="F499" s="96"/>
      <c r="G499" s="96"/>
    </row>
    <row r="500" spans="2:7" x14ac:dyDescent="0.25">
      <c r="B500" s="84"/>
      <c r="C500" s="96"/>
      <c r="D500" s="96"/>
      <c r="E500" s="96"/>
      <c r="F500" s="96"/>
      <c r="G500" s="96"/>
    </row>
    <row r="501" spans="2:7" x14ac:dyDescent="0.25">
      <c r="B501" s="84"/>
      <c r="C501" s="96"/>
      <c r="D501" s="96"/>
      <c r="E501" s="96"/>
      <c r="F501" s="96"/>
      <c r="G501" s="96"/>
    </row>
    <row r="502" spans="2:7" x14ac:dyDescent="0.25">
      <c r="B502" s="84"/>
      <c r="C502" s="96"/>
      <c r="D502" s="96"/>
      <c r="E502" s="96"/>
      <c r="F502" s="96"/>
      <c r="G502" s="96"/>
    </row>
    <row r="503" spans="2:7" x14ac:dyDescent="0.25">
      <c r="B503" s="84"/>
      <c r="C503" s="96"/>
      <c r="D503" s="96"/>
      <c r="E503" s="96"/>
      <c r="F503" s="96"/>
      <c r="G503" s="96"/>
    </row>
    <row r="504" spans="2:7" x14ac:dyDescent="0.25">
      <c r="B504" s="84"/>
      <c r="C504" s="96"/>
      <c r="D504" s="96"/>
      <c r="E504" s="96"/>
      <c r="F504" s="96"/>
      <c r="G504" s="97"/>
    </row>
    <row r="505" spans="2:7" x14ac:dyDescent="0.25">
      <c r="B505" s="94"/>
      <c r="C505" s="98"/>
      <c r="D505" s="97"/>
      <c r="E505" s="97"/>
    </row>
    <row r="507" spans="2:7" x14ac:dyDescent="0.25">
      <c r="B507" s="84"/>
      <c r="C507" s="96"/>
      <c r="D507" s="96"/>
      <c r="E507" s="96"/>
      <c r="F507" s="96"/>
      <c r="G507" s="96"/>
    </row>
    <row r="508" spans="2:7" x14ac:dyDescent="0.25">
      <c r="B508" s="84"/>
      <c r="C508" s="96"/>
      <c r="D508" s="96"/>
      <c r="E508" s="96"/>
      <c r="F508" s="96"/>
      <c r="G508" s="96"/>
    </row>
    <row r="509" spans="2:7" x14ac:dyDescent="0.25">
      <c r="B509" s="84"/>
      <c r="C509" s="96"/>
      <c r="D509" s="96"/>
      <c r="E509" s="96"/>
      <c r="F509" s="96"/>
      <c r="G509" s="96"/>
    </row>
    <row r="510" spans="2:7" x14ac:dyDescent="0.25">
      <c r="B510" s="84"/>
      <c r="C510" s="96"/>
      <c r="D510" s="96"/>
      <c r="E510" s="96"/>
      <c r="F510" s="96"/>
      <c r="G510" s="96"/>
    </row>
    <row r="511" spans="2:7" x14ac:dyDescent="0.25">
      <c r="B511" s="84"/>
      <c r="C511" s="96"/>
      <c r="D511" s="96"/>
      <c r="E511" s="96"/>
      <c r="F511" s="96"/>
      <c r="G511" s="96"/>
    </row>
    <row r="512" spans="2:7" x14ac:dyDescent="0.25">
      <c r="B512" s="84"/>
      <c r="C512" s="96"/>
      <c r="D512" s="96"/>
      <c r="E512" s="96"/>
      <c r="F512" s="96"/>
      <c r="G512" s="96"/>
    </row>
    <row r="513" spans="2:7" x14ac:dyDescent="0.25">
      <c r="B513" s="84"/>
      <c r="C513" s="96"/>
      <c r="D513" s="96"/>
      <c r="E513" s="96"/>
      <c r="F513" s="96"/>
      <c r="G513" s="96"/>
    </row>
    <row r="514" spans="2:7" x14ac:dyDescent="0.25">
      <c r="B514" s="84"/>
      <c r="C514" s="96"/>
      <c r="D514" s="96"/>
      <c r="E514" s="96"/>
      <c r="F514" s="96"/>
      <c r="G514" s="96"/>
    </row>
    <row r="515" spans="2:7" x14ac:dyDescent="0.25">
      <c r="B515" s="84"/>
      <c r="C515" s="96"/>
      <c r="D515" s="96"/>
      <c r="E515" s="96"/>
      <c r="F515" s="96"/>
      <c r="G515" s="96"/>
    </row>
    <row r="516" spans="2:7" x14ac:dyDescent="0.25">
      <c r="B516" s="84"/>
      <c r="C516" s="96"/>
      <c r="D516" s="96"/>
      <c r="E516" s="96"/>
      <c r="F516" s="96"/>
      <c r="G516" s="96"/>
    </row>
    <row r="517" spans="2:7" x14ac:dyDescent="0.25">
      <c r="B517" s="84"/>
      <c r="C517" s="96"/>
      <c r="D517" s="96"/>
      <c r="E517" s="96"/>
      <c r="F517" s="96"/>
      <c r="G517" s="96"/>
    </row>
    <row r="518" spans="2:7" x14ac:dyDescent="0.25">
      <c r="B518" s="84"/>
      <c r="C518" s="96"/>
      <c r="D518" s="96"/>
      <c r="E518" s="96"/>
      <c r="F518" s="96"/>
      <c r="G518" s="97"/>
    </row>
    <row r="519" spans="2:7" x14ac:dyDescent="0.25">
      <c r="B519" s="94"/>
      <c r="C519" s="97"/>
      <c r="D519" s="97"/>
      <c r="E519" s="97"/>
      <c r="F519" s="96"/>
      <c r="G519" s="96"/>
    </row>
    <row r="520" spans="2:7" x14ac:dyDescent="0.25">
      <c r="B520" s="84"/>
      <c r="C520" s="96"/>
      <c r="D520" s="96"/>
      <c r="E520" s="96"/>
      <c r="F520" s="96"/>
      <c r="G520" s="96"/>
    </row>
    <row r="521" spans="2:7" x14ac:dyDescent="0.25">
      <c r="B521" s="84"/>
      <c r="C521" s="96"/>
      <c r="D521" s="96"/>
      <c r="E521" s="96"/>
      <c r="F521" s="96"/>
      <c r="G521" s="96"/>
    </row>
    <row r="522" spans="2:7" x14ac:dyDescent="0.25">
      <c r="B522" s="84"/>
      <c r="C522" s="96"/>
      <c r="D522" s="96"/>
      <c r="E522" s="96"/>
      <c r="F522" s="96"/>
      <c r="G522" s="96"/>
    </row>
    <row r="523" spans="2:7" x14ac:dyDescent="0.25">
      <c r="B523" s="84"/>
      <c r="C523" s="96"/>
      <c r="D523" s="96"/>
      <c r="E523" s="96"/>
      <c r="F523" s="96"/>
      <c r="G523" s="96"/>
    </row>
    <row r="524" spans="2:7" x14ac:dyDescent="0.25">
      <c r="B524" s="84"/>
      <c r="C524" s="96"/>
      <c r="D524" s="96"/>
      <c r="E524" s="96"/>
      <c r="F524" s="96"/>
      <c r="G524" s="96"/>
    </row>
    <row r="525" spans="2:7" x14ac:dyDescent="0.25">
      <c r="B525" s="84"/>
      <c r="C525" s="96"/>
      <c r="D525" s="96"/>
      <c r="E525" s="96"/>
      <c r="F525" s="96"/>
      <c r="G525" s="96"/>
    </row>
    <row r="526" spans="2:7" x14ac:dyDescent="0.25">
      <c r="B526" s="84"/>
      <c r="C526" s="96"/>
      <c r="D526" s="96"/>
      <c r="E526" s="96"/>
      <c r="F526" s="96"/>
      <c r="G526" s="96"/>
    </row>
    <row r="527" spans="2:7" x14ac:dyDescent="0.25">
      <c r="B527" s="84"/>
      <c r="C527" s="96"/>
      <c r="D527" s="96"/>
      <c r="E527" s="96"/>
      <c r="F527" s="96"/>
      <c r="G527" s="96"/>
    </row>
    <row r="528" spans="2:7" x14ac:dyDescent="0.25">
      <c r="B528" s="84"/>
      <c r="C528" s="96"/>
      <c r="D528" s="96"/>
      <c r="E528" s="96"/>
      <c r="F528" s="96"/>
      <c r="G528" s="96"/>
    </row>
    <row r="529" spans="2:7" x14ac:dyDescent="0.25">
      <c r="B529" s="84"/>
      <c r="C529" s="96"/>
      <c r="D529" s="96"/>
      <c r="E529" s="96"/>
      <c r="F529" s="96"/>
      <c r="G529" s="96"/>
    </row>
    <row r="530" spans="2:7" x14ac:dyDescent="0.25">
      <c r="B530" s="84"/>
      <c r="C530" s="96"/>
      <c r="D530" s="96"/>
      <c r="E530" s="96"/>
      <c r="F530" s="96"/>
      <c r="G530" s="96"/>
    </row>
    <row r="531" spans="2:7" x14ac:dyDescent="0.25">
      <c r="B531" s="84"/>
      <c r="C531" s="96"/>
      <c r="D531" s="96"/>
      <c r="E531" s="96"/>
      <c r="F531" s="96"/>
      <c r="G531" s="96"/>
    </row>
    <row r="532" spans="2:7" x14ac:dyDescent="0.25">
      <c r="B532" s="84"/>
      <c r="C532" s="96"/>
      <c r="D532" s="96"/>
      <c r="E532" s="96"/>
      <c r="F532" s="96"/>
      <c r="G532" s="97"/>
    </row>
    <row r="533" spans="2:7" x14ac:dyDescent="0.25">
      <c r="B533" s="94"/>
      <c r="C533" s="98"/>
      <c r="D533" s="97"/>
      <c r="E533" s="97"/>
    </row>
    <row r="535" spans="2:7" x14ac:dyDescent="0.25">
      <c r="B535" s="84"/>
      <c r="C535" s="96"/>
      <c r="D535" s="96"/>
      <c r="E535" s="96"/>
      <c r="F535" s="96"/>
      <c r="G535" s="96"/>
    </row>
    <row r="536" spans="2:7" x14ac:dyDescent="0.25">
      <c r="B536" s="84"/>
      <c r="C536" s="96"/>
      <c r="D536" s="96"/>
      <c r="E536" s="96"/>
      <c r="F536" s="96"/>
      <c r="G536" s="96"/>
    </row>
    <row r="537" spans="2:7" x14ac:dyDescent="0.25">
      <c r="B537" s="84"/>
      <c r="C537" s="96"/>
      <c r="D537" s="96"/>
      <c r="E537" s="96"/>
      <c r="F537" s="96"/>
      <c r="G537" s="96"/>
    </row>
    <row r="538" spans="2:7" x14ac:dyDescent="0.25">
      <c r="B538" s="84"/>
      <c r="C538" s="96"/>
      <c r="D538" s="96"/>
      <c r="E538" s="96"/>
      <c r="F538" s="96"/>
      <c r="G538" s="96"/>
    </row>
    <row r="539" spans="2:7" x14ac:dyDescent="0.25">
      <c r="B539" s="84"/>
      <c r="C539" s="96"/>
      <c r="D539" s="96"/>
      <c r="E539" s="96"/>
      <c r="F539" s="96"/>
      <c r="G539" s="96"/>
    </row>
    <row r="540" spans="2:7" x14ac:dyDescent="0.25">
      <c r="B540" s="84"/>
      <c r="C540" s="96"/>
      <c r="D540" s="96"/>
      <c r="E540" s="96"/>
      <c r="F540" s="96"/>
      <c r="G540" s="96"/>
    </row>
    <row r="541" spans="2:7" x14ac:dyDescent="0.25">
      <c r="B541" s="84"/>
      <c r="C541" s="96"/>
      <c r="D541" s="96"/>
      <c r="E541" s="96"/>
      <c r="F541" s="96"/>
      <c r="G541" s="96"/>
    </row>
    <row r="542" spans="2:7" x14ac:dyDescent="0.25">
      <c r="B542" s="84"/>
      <c r="C542" s="96"/>
      <c r="D542" s="96"/>
      <c r="E542" s="96"/>
      <c r="F542" s="96"/>
      <c r="G542" s="96"/>
    </row>
    <row r="543" spans="2:7" x14ac:dyDescent="0.25">
      <c r="B543" s="84"/>
      <c r="C543" s="96"/>
      <c r="D543" s="96"/>
      <c r="E543" s="96"/>
      <c r="F543" s="96"/>
      <c r="G543" s="96"/>
    </row>
    <row r="544" spans="2:7" x14ac:dyDescent="0.25">
      <c r="B544" s="84"/>
      <c r="C544" s="96"/>
      <c r="D544" s="96"/>
      <c r="E544" s="96"/>
      <c r="F544" s="96"/>
      <c r="G544" s="96"/>
    </row>
    <row r="545" spans="2:7" x14ac:dyDescent="0.25">
      <c r="B545" s="84"/>
      <c r="C545" s="96"/>
      <c r="D545" s="96"/>
      <c r="E545" s="96"/>
      <c r="F545" s="96"/>
      <c r="G545" s="96"/>
    </row>
    <row r="546" spans="2:7" x14ac:dyDescent="0.25">
      <c r="B546" s="84"/>
      <c r="C546" s="96"/>
      <c r="D546" s="96"/>
      <c r="E546" s="96"/>
      <c r="F546" s="96"/>
      <c r="G546" s="97"/>
    </row>
    <row r="547" spans="2:7" x14ac:dyDescent="0.25">
      <c r="B547" s="94"/>
      <c r="C547" s="97"/>
      <c r="D547" s="97"/>
      <c r="E547" s="97"/>
      <c r="F547" s="96"/>
      <c r="G547" s="96"/>
    </row>
    <row r="548" spans="2:7" x14ac:dyDescent="0.25">
      <c r="B548" s="84"/>
      <c r="C548" s="96"/>
      <c r="D548" s="96"/>
      <c r="E548" s="96"/>
      <c r="F548" s="96"/>
      <c r="G548" s="96"/>
    </row>
    <row r="549" spans="2:7" x14ac:dyDescent="0.25">
      <c r="B549" s="84"/>
      <c r="C549" s="96"/>
      <c r="D549" s="96"/>
      <c r="E549" s="96"/>
      <c r="F549" s="96"/>
      <c r="G549" s="96"/>
    </row>
    <row r="550" spans="2:7" x14ac:dyDescent="0.25">
      <c r="B550" s="84"/>
      <c r="C550" s="96"/>
      <c r="D550" s="96"/>
      <c r="E550" s="96"/>
      <c r="F550" s="96"/>
      <c r="G550" s="96"/>
    </row>
    <row r="551" spans="2:7" x14ac:dyDescent="0.25">
      <c r="B551" s="84"/>
      <c r="C551" s="96"/>
      <c r="D551" s="96"/>
      <c r="E551" s="96"/>
      <c r="F551" s="96"/>
      <c r="G551" s="96"/>
    </row>
    <row r="552" spans="2:7" x14ac:dyDescent="0.25">
      <c r="B552" s="84"/>
      <c r="C552" s="96"/>
      <c r="D552" s="96"/>
      <c r="E552" s="96"/>
      <c r="F552" s="96"/>
      <c r="G552" s="96"/>
    </row>
    <row r="553" spans="2:7" x14ac:dyDescent="0.25">
      <c r="B553" s="84"/>
      <c r="C553" s="96"/>
      <c r="D553" s="96"/>
      <c r="E553" s="96"/>
      <c r="F553" s="96"/>
      <c r="G553" s="96"/>
    </row>
    <row r="554" spans="2:7" x14ac:dyDescent="0.25">
      <c r="B554" s="84"/>
      <c r="C554" s="96"/>
      <c r="D554" s="96"/>
      <c r="E554" s="96"/>
      <c r="F554" s="96"/>
      <c r="G554" s="96"/>
    </row>
    <row r="555" spans="2:7" x14ac:dyDescent="0.25">
      <c r="B555" s="84"/>
      <c r="C555" s="96"/>
      <c r="D555" s="96"/>
      <c r="E555" s="96"/>
      <c r="F555" s="96"/>
      <c r="G555" s="96"/>
    </row>
    <row r="556" spans="2:7" x14ac:dyDescent="0.25">
      <c r="B556" s="84"/>
      <c r="C556" s="96"/>
      <c r="D556" s="96"/>
      <c r="E556" s="96"/>
      <c r="F556" s="96"/>
      <c r="G556" s="96"/>
    </row>
    <row r="557" spans="2:7" x14ac:dyDescent="0.25">
      <c r="B557" s="84"/>
      <c r="C557" s="96"/>
      <c r="D557" s="96"/>
      <c r="E557" s="96"/>
      <c r="F557" s="96"/>
      <c r="G557" s="96"/>
    </row>
    <row r="558" spans="2:7" x14ac:dyDescent="0.25">
      <c r="B558" s="84"/>
      <c r="C558" s="96"/>
      <c r="D558" s="96"/>
      <c r="E558" s="96"/>
      <c r="F558" s="96"/>
      <c r="G558" s="96"/>
    </row>
    <row r="559" spans="2:7" x14ac:dyDescent="0.25">
      <c r="B559" s="84"/>
      <c r="C559" s="96"/>
      <c r="D559" s="96"/>
      <c r="E559" s="96"/>
      <c r="F559" s="96"/>
      <c r="G559" s="96"/>
    </row>
    <row r="560" spans="2:7" x14ac:dyDescent="0.25">
      <c r="B560" s="84"/>
      <c r="C560" s="96"/>
      <c r="D560" s="96"/>
      <c r="E560" s="96"/>
      <c r="F560" s="96"/>
      <c r="G560" s="97"/>
    </row>
    <row r="561" spans="2:7" x14ac:dyDescent="0.25">
      <c r="B561" s="94"/>
      <c r="C561" s="98"/>
      <c r="D561" s="97"/>
      <c r="E561" s="97"/>
    </row>
    <row r="563" spans="2:7" x14ac:dyDescent="0.25">
      <c r="B563" s="84"/>
      <c r="C563" s="96"/>
      <c r="D563" s="96"/>
      <c r="E563" s="96"/>
      <c r="F563" s="96"/>
      <c r="G563" s="96"/>
    </row>
    <row r="564" spans="2:7" x14ac:dyDescent="0.25">
      <c r="B564" s="84"/>
      <c r="C564" s="96"/>
      <c r="D564" s="96"/>
      <c r="E564" s="96"/>
      <c r="F564" s="96"/>
      <c r="G564" s="96"/>
    </row>
    <row r="565" spans="2:7" x14ac:dyDescent="0.25">
      <c r="B565" s="84"/>
      <c r="C565" s="96"/>
      <c r="D565" s="96"/>
      <c r="E565" s="96"/>
      <c r="F565" s="96"/>
      <c r="G565" s="96"/>
    </row>
    <row r="566" spans="2:7" x14ac:dyDescent="0.25">
      <c r="B566" s="84"/>
      <c r="C566" s="96"/>
      <c r="D566" s="96"/>
      <c r="E566" s="96"/>
      <c r="F566" s="96"/>
      <c r="G566" s="96"/>
    </row>
    <row r="567" spans="2:7" x14ac:dyDescent="0.25">
      <c r="B567" s="84"/>
      <c r="C567" s="96"/>
      <c r="D567" s="96"/>
      <c r="E567" s="96"/>
      <c r="F567" s="96"/>
      <c r="G567" s="96"/>
    </row>
    <row r="568" spans="2:7" x14ac:dyDescent="0.25">
      <c r="B568" s="84"/>
      <c r="C568" s="96"/>
      <c r="D568" s="96"/>
      <c r="E568" s="96"/>
      <c r="F568" s="96"/>
      <c r="G568" s="96"/>
    </row>
    <row r="569" spans="2:7" x14ac:dyDescent="0.25">
      <c r="B569" s="84"/>
      <c r="C569" s="96"/>
      <c r="D569" s="96"/>
      <c r="E569" s="96"/>
      <c r="F569" s="96"/>
      <c r="G569" s="96"/>
    </row>
    <row r="570" spans="2:7" x14ac:dyDescent="0.25">
      <c r="B570" s="84"/>
      <c r="C570" s="96"/>
      <c r="D570" s="96"/>
      <c r="E570" s="96"/>
      <c r="F570" s="96"/>
      <c r="G570" s="96"/>
    </row>
    <row r="571" spans="2:7" x14ac:dyDescent="0.25">
      <c r="B571" s="84"/>
      <c r="C571" s="96"/>
      <c r="D571" s="96"/>
      <c r="E571" s="96"/>
      <c r="F571" s="96"/>
      <c r="G571" s="96"/>
    </row>
    <row r="572" spans="2:7" x14ac:dyDescent="0.25">
      <c r="B572" s="84"/>
      <c r="C572" s="96"/>
      <c r="D572" s="96"/>
      <c r="E572" s="96"/>
      <c r="F572" s="96"/>
      <c r="G572" s="96"/>
    </row>
    <row r="573" spans="2:7" x14ac:dyDescent="0.25">
      <c r="B573" s="84"/>
      <c r="C573" s="96"/>
      <c r="D573" s="96"/>
      <c r="E573" s="96"/>
      <c r="F573" s="96"/>
      <c r="G573" s="96"/>
    </row>
    <row r="574" spans="2:7" x14ac:dyDescent="0.25">
      <c r="B574" s="84"/>
      <c r="C574" s="96"/>
      <c r="D574" s="96"/>
      <c r="E574" s="96"/>
      <c r="F574" s="96"/>
      <c r="G574" s="97"/>
    </row>
    <row r="575" spans="2:7" x14ac:dyDescent="0.25">
      <c r="B575" s="94"/>
      <c r="C575" s="97"/>
      <c r="D575" s="97"/>
      <c r="E575" s="97"/>
      <c r="F575" s="96"/>
      <c r="G575" s="96"/>
    </row>
    <row r="576" spans="2:7" x14ac:dyDescent="0.25">
      <c r="B576" s="84"/>
      <c r="C576" s="96"/>
      <c r="D576" s="96"/>
      <c r="E576" s="96"/>
      <c r="F576" s="96"/>
      <c r="G576" s="96"/>
    </row>
    <row r="577" spans="2:7" x14ac:dyDescent="0.25">
      <c r="B577" s="84"/>
      <c r="C577" s="96"/>
      <c r="D577" s="96"/>
      <c r="E577" s="96"/>
      <c r="F577" s="96"/>
      <c r="G577" s="96"/>
    </row>
    <row r="578" spans="2:7" x14ac:dyDescent="0.25">
      <c r="B578" s="84"/>
      <c r="C578" s="96"/>
      <c r="D578" s="96"/>
      <c r="E578" s="96"/>
      <c r="F578" s="96"/>
      <c r="G578" s="96"/>
    </row>
    <row r="579" spans="2:7" x14ac:dyDescent="0.25">
      <c r="B579" s="84"/>
      <c r="C579" s="96"/>
      <c r="D579" s="96"/>
      <c r="E579" s="96"/>
      <c r="F579" s="96"/>
      <c r="G579" s="96"/>
    </row>
    <row r="580" spans="2:7" x14ac:dyDescent="0.25">
      <c r="B580" s="84"/>
      <c r="C580" s="96"/>
      <c r="D580" s="96"/>
      <c r="E580" s="96"/>
      <c r="F580" s="96"/>
      <c r="G580" s="96"/>
    </row>
    <row r="581" spans="2:7" x14ac:dyDescent="0.25">
      <c r="B581" s="84"/>
      <c r="C581" s="96"/>
      <c r="D581" s="96"/>
      <c r="E581" s="96"/>
      <c r="F581" s="96"/>
      <c r="G581" s="96"/>
    </row>
    <row r="582" spans="2:7" x14ac:dyDescent="0.25">
      <c r="B582" s="84"/>
      <c r="C582" s="96"/>
      <c r="D582" s="96"/>
      <c r="E582" s="96"/>
      <c r="F582" s="96"/>
      <c r="G582" s="96"/>
    </row>
    <row r="583" spans="2:7" x14ac:dyDescent="0.25">
      <c r="B583" s="84"/>
      <c r="C583" s="96"/>
      <c r="D583" s="96"/>
      <c r="E583" s="96"/>
      <c r="F583" s="96"/>
      <c r="G583" s="96"/>
    </row>
    <row r="584" spans="2:7" x14ac:dyDescent="0.25">
      <c r="B584" s="84"/>
      <c r="C584" s="96"/>
      <c r="D584" s="96"/>
      <c r="E584" s="96"/>
      <c r="F584" s="96"/>
      <c r="G584" s="96"/>
    </row>
    <row r="585" spans="2:7" x14ac:dyDescent="0.25">
      <c r="B585" s="84"/>
      <c r="C585" s="96"/>
      <c r="D585" s="96"/>
      <c r="E585" s="96"/>
      <c r="F585" s="96"/>
      <c r="G585" s="96"/>
    </row>
    <row r="586" spans="2:7" x14ac:dyDescent="0.25">
      <c r="B586" s="84"/>
      <c r="C586" s="96"/>
      <c r="D586" s="96"/>
      <c r="E586" s="96"/>
      <c r="F586" s="96"/>
      <c r="G586" s="96"/>
    </row>
    <row r="587" spans="2:7" x14ac:dyDescent="0.25">
      <c r="B587" s="84"/>
      <c r="C587" s="96"/>
      <c r="D587" s="96"/>
      <c r="E587" s="96"/>
      <c r="F587" s="96"/>
      <c r="G587" s="96"/>
    </row>
    <row r="588" spans="2:7" x14ac:dyDescent="0.25">
      <c r="B588" s="84"/>
      <c r="C588" s="96"/>
      <c r="D588" s="96"/>
      <c r="E588" s="96"/>
      <c r="F588" s="96"/>
      <c r="G588" s="97"/>
    </row>
    <row r="589" spans="2:7" x14ac:dyDescent="0.25">
      <c r="B589" s="94"/>
      <c r="C589" s="98"/>
      <c r="D589" s="97"/>
      <c r="E589" s="97"/>
    </row>
    <row r="591" spans="2:7" x14ac:dyDescent="0.25">
      <c r="B591" s="84"/>
      <c r="C591" s="96"/>
      <c r="D591" s="96"/>
      <c r="E591" s="96"/>
      <c r="F591" s="96"/>
      <c r="G591" s="96"/>
    </row>
    <row r="592" spans="2:7" x14ac:dyDescent="0.25">
      <c r="B592" s="84"/>
      <c r="C592" s="96"/>
      <c r="D592" s="96"/>
      <c r="E592" s="96"/>
      <c r="F592" s="96"/>
      <c r="G592" s="96"/>
    </row>
    <row r="593" spans="2:7" x14ac:dyDescent="0.25">
      <c r="B593" s="84"/>
      <c r="C593" s="96"/>
      <c r="D593" s="96"/>
      <c r="E593" s="96"/>
      <c r="F593" s="96"/>
      <c r="G593" s="96"/>
    </row>
    <row r="594" spans="2:7" x14ac:dyDescent="0.25">
      <c r="B594" s="84"/>
      <c r="C594" s="96"/>
      <c r="D594" s="96"/>
      <c r="E594" s="96"/>
      <c r="F594" s="96"/>
      <c r="G594" s="96"/>
    </row>
    <row r="595" spans="2:7" x14ac:dyDescent="0.25">
      <c r="B595" s="84"/>
      <c r="C595" s="96"/>
      <c r="D595" s="96"/>
      <c r="E595" s="96"/>
      <c r="F595" s="96"/>
      <c r="G595" s="96"/>
    </row>
    <row r="596" spans="2:7" x14ac:dyDescent="0.25">
      <c r="B596" s="84"/>
      <c r="C596" s="96"/>
      <c r="D596" s="96"/>
      <c r="E596" s="96"/>
      <c r="F596" s="96"/>
      <c r="G596" s="96"/>
    </row>
    <row r="597" spans="2:7" x14ac:dyDescent="0.25">
      <c r="B597" s="84"/>
      <c r="C597" s="96"/>
      <c r="D597" s="96"/>
      <c r="E597" s="96"/>
      <c r="F597" s="96"/>
      <c r="G597" s="96"/>
    </row>
    <row r="598" spans="2:7" x14ac:dyDescent="0.25">
      <c r="B598" s="84"/>
      <c r="C598" s="96"/>
      <c r="D598" s="96"/>
      <c r="E598" s="96"/>
      <c r="F598" s="96"/>
      <c r="G598" s="96"/>
    </row>
    <row r="599" spans="2:7" x14ac:dyDescent="0.25">
      <c r="B599" s="84"/>
      <c r="C599" s="96"/>
      <c r="D599" s="96"/>
      <c r="E599" s="96"/>
      <c r="F599" s="96"/>
      <c r="G599" s="96"/>
    </row>
    <row r="600" spans="2:7" x14ac:dyDescent="0.25">
      <c r="B600" s="84"/>
      <c r="C600" s="96"/>
      <c r="D600" s="96"/>
      <c r="E600" s="96"/>
      <c r="F600" s="96"/>
      <c r="G600" s="96"/>
    </row>
    <row r="601" spans="2:7" x14ac:dyDescent="0.25">
      <c r="B601" s="84"/>
      <c r="C601" s="96"/>
      <c r="D601" s="96"/>
      <c r="E601" s="96"/>
      <c r="F601" s="96"/>
      <c r="G601" s="96"/>
    </row>
    <row r="602" spans="2:7" x14ac:dyDescent="0.25">
      <c r="B602" s="84"/>
      <c r="C602" s="96"/>
      <c r="D602" s="96"/>
      <c r="E602" s="96"/>
      <c r="F602" s="96"/>
      <c r="G602" s="97"/>
    </row>
    <row r="603" spans="2:7" x14ac:dyDescent="0.25">
      <c r="B603" s="94"/>
      <c r="C603" s="97"/>
      <c r="D603" s="97"/>
      <c r="E603" s="97"/>
      <c r="F603" s="96"/>
      <c r="G603" s="96"/>
    </row>
    <row r="604" spans="2:7" x14ac:dyDescent="0.25">
      <c r="B604" s="84"/>
      <c r="C604" s="96"/>
      <c r="D604" s="96"/>
      <c r="E604" s="96"/>
      <c r="F604" s="96"/>
      <c r="G604" s="96"/>
    </row>
    <row r="605" spans="2:7" x14ac:dyDescent="0.25">
      <c r="B605" s="84"/>
      <c r="C605" s="96"/>
      <c r="D605" s="96"/>
      <c r="E605" s="96"/>
      <c r="F605" s="96"/>
      <c r="G605" s="96"/>
    </row>
    <row r="606" spans="2:7" x14ac:dyDescent="0.25">
      <c r="B606" s="84"/>
      <c r="C606" s="96"/>
      <c r="D606" s="96"/>
      <c r="E606" s="96"/>
      <c r="F606" s="96"/>
      <c r="G606" s="96"/>
    </row>
    <row r="607" spans="2:7" x14ac:dyDescent="0.25">
      <c r="B607" s="84"/>
      <c r="C607" s="96"/>
      <c r="D607" s="96"/>
      <c r="E607" s="96"/>
      <c r="F607" s="96"/>
      <c r="G607" s="96"/>
    </row>
    <row r="608" spans="2:7" x14ac:dyDescent="0.25">
      <c r="B608" s="84"/>
      <c r="C608" s="96"/>
      <c r="D608" s="96"/>
      <c r="E608" s="96"/>
      <c r="F608" s="96"/>
      <c r="G608" s="96"/>
    </row>
    <row r="609" spans="2:7" x14ac:dyDescent="0.25">
      <c r="B609" s="84"/>
      <c r="C609" s="96"/>
      <c r="D609" s="96"/>
      <c r="E609" s="96"/>
      <c r="F609" s="96"/>
      <c r="G609" s="96"/>
    </row>
    <row r="610" spans="2:7" x14ac:dyDescent="0.25">
      <c r="B610" s="84"/>
      <c r="C610" s="96"/>
      <c r="D610" s="96"/>
      <c r="E610" s="96"/>
      <c r="F610" s="96"/>
      <c r="G610" s="96"/>
    </row>
    <row r="611" spans="2:7" x14ac:dyDescent="0.25">
      <c r="B611" s="84"/>
      <c r="C611" s="96"/>
      <c r="D611" s="96"/>
      <c r="E611" s="96"/>
      <c r="F611" s="96"/>
      <c r="G611" s="96"/>
    </row>
    <row r="612" spans="2:7" x14ac:dyDescent="0.25">
      <c r="B612" s="84"/>
      <c r="C612" s="96"/>
      <c r="D612" s="96"/>
      <c r="E612" s="96"/>
      <c r="F612" s="96"/>
      <c r="G612" s="96"/>
    </row>
    <row r="613" spans="2:7" x14ac:dyDescent="0.25">
      <c r="B613" s="84"/>
      <c r="C613" s="96"/>
      <c r="D613" s="96"/>
      <c r="E613" s="96"/>
      <c r="F613" s="96"/>
      <c r="G613" s="96"/>
    </row>
    <row r="614" spans="2:7" x14ac:dyDescent="0.25">
      <c r="B614" s="84"/>
      <c r="C614" s="96"/>
      <c r="D614" s="96"/>
      <c r="E614" s="96"/>
      <c r="F614" s="96"/>
      <c r="G614" s="96"/>
    </row>
    <row r="615" spans="2:7" x14ac:dyDescent="0.25">
      <c r="B615" s="84"/>
      <c r="C615" s="96"/>
      <c r="D615" s="96"/>
      <c r="E615" s="96"/>
      <c r="F615" s="96"/>
      <c r="G615" s="96"/>
    </row>
    <row r="616" spans="2:7" x14ac:dyDescent="0.25">
      <c r="B616" s="84"/>
      <c r="C616" s="96"/>
      <c r="D616" s="96"/>
      <c r="E616" s="96"/>
      <c r="F616" s="96"/>
      <c r="G616" s="97"/>
    </row>
    <row r="617" spans="2:7" x14ac:dyDescent="0.25">
      <c r="B617" s="94"/>
      <c r="C617" s="98"/>
      <c r="D617" s="97"/>
      <c r="E617" s="97"/>
    </row>
    <row r="619" spans="2:7" x14ac:dyDescent="0.25">
      <c r="B619" s="84"/>
      <c r="C619" s="96"/>
      <c r="D619" s="96"/>
      <c r="E619" s="96"/>
      <c r="F619" s="96"/>
      <c r="G619" s="96"/>
    </row>
    <row r="620" spans="2:7" x14ac:dyDescent="0.25">
      <c r="B620" s="84"/>
      <c r="C620" s="96"/>
      <c r="D620" s="96"/>
      <c r="E620" s="96"/>
      <c r="F620" s="96"/>
      <c r="G620" s="96"/>
    </row>
    <row r="621" spans="2:7" x14ac:dyDescent="0.25">
      <c r="B621" s="84"/>
      <c r="C621" s="96"/>
      <c r="D621" s="96"/>
      <c r="E621" s="96"/>
      <c r="F621" s="96"/>
      <c r="G621" s="96"/>
    </row>
    <row r="622" spans="2:7" x14ac:dyDescent="0.25">
      <c r="B622" s="84"/>
      <c r="C622" s="96"/>
      <c r="D622" s="96"/>
      <c r="E622" s="96"/>
      <c r="F622" s="96"/>
      <c r="G622" s="96"/>
    </row>
    <row r="623" spans="2:7" x14ac:dyDescent="0.25">
      <c r="B623" s="84"/>
      <c r="C623" s="96"/>
      <c r="D623" s="96"/>
      <c r="E623" s="96"/>
      <c r="F623" s="96"/>
      <c r="G623" s="96"/>
    </row>
    <row r="624" spans="2:7" x14ac:dyDescent="0.25">
      <c r="B624" s="84"/>
      <c r="C624" s="96"/>
      <c r="D624" s="96"/>
      <c r="E624" s="96"/>
      <c r="F624" s="96"/>
      <c r="G624" s="96"/>
    </row>
    <row r="625" spans="2:7" x14ac:dyDescent="0.25">
      <c r="B625" s="84"/>
      <c r="C625" s="96"/>
      <c r="D625" s="96"/>
      <c r="E625" s="96"/>
      <c r="F625" s="96"/>
      <c r="G625" s="96"/>
    </row>
    <row r="626" spans="2:7" x14ac:dyDescent="0.25">
      <c r="B626" s="84"/>
      <c r="C626" s="96"/>
      <c r="D626" s="96"/>
      <c r="E626" s="96"/>
      <c r="F626" s="96"/>
      <c r="G626" s="96"/>
    </row>
    <row r="627" spans="2:7" x14ac:dyDescent="0.25">
      <c r="B627" s="84"/>
      <c r="C627" s="96"/>
      <c r="D627" s="96"/>
      <c r="E627" s="96"/>
      <c r="F627" s="96"/>
      <c r="G627" s="96"/>
    </row>
    <row r="628" spans="2:7" x14ac:dyDescent="0.25">
      <c r="B628" s="84"/>
      <c r="C628" s="96"/>
      <c r="D628" s="96"/>
      <c r="E628" s="96"/>
      <c r="F628" s="96"/>
      <c r="G628" s="96"/>
    </row>
    <row r="629" spans="2:7" x14ac:dyDescent="0.25">
      <c r="B629" s="84"/>
      <c r="C629" s="96"/>
      <c r="D629" s="96"/>
      <c r="E629" s="96"/>
      <c r="F629" s="96"/>
      <c r="G629" s="96"/>
    </row>
    <row r="630" spans="2:7" x14ac:dyDescent="0.25">
      <c r="B630" s="84"/>
      <c r="C630" s="96"/>
      <c r="D630" s="96"/>
      <c r="E630" s="96"/>
      <c r="F630" s="96"/>
      <c r="G630" s="97"/>
    </row>
    <row r="631" spans="2:7" x14ac:dyDescent="0.25">
      <c r="B631" s="94"/>
      <c r="C631" s="97"/>
      <c r="D631" s="97"/>
      <c r="E631" s="97"/>
      <c r="F631" s="96"/>
      <c r="G631" s="96"/>
    </row>
    <row r="632" spans="2:7" x14ac:dyDescent="0.25">
      <c r="B632" s="84"/>
      <c r="C632" s="96"/>
      <c r="D632" s="96"/>
      <c r="E632" s="96"/>
      <c r="F632" s="96"/>
      <c r="G632" s="96"/>
    </row>
    <row r="633" spans="2:7" x14ac:dyDescent="0.25">
      <c r="B633" s="84"/>
      <c r="C633" s="96"/>
      <c r="D633" s="96"/>
      <c r="E633" s="96"/>
      <c r="F633" s="96"/>
      <c r="G633" s="96"/>
    </row>
    <row r="634" spans="2:7" x14ac:dyDescent="0.25">
      <c r="B634" s="84"/>
      <c r="C634" s="96"/>
      <c r="D634" s="96"/>
      <c r="E634" s="96"/>
      <c r="F634" s="96"/>
      <c r="G634" s="96"/>
    </row>
    <row r="635" spans="2:7" x14ac:dyDescent="0.25">
      <c r="B635" s="84"/>
      <c r="C635" s="96"/>
      <c r="D635" s="96"/>
      <c r="E635" s="96"/>
      <c r="F635" s="96"/>
      <c r="G635" s="96"/>
    </row>
    <row r="636" spans="2:7" x14ac:dyDescent="0.25">
      <c r="B636" s="84"/>
      <c r="C636" s="96"/>
      <c r="D636" s="96"/>
      <c r="E636" s="96"/>
      <c r="F636" s="96"/>
      <c r="G636" s="96"/>
    </row>
    <row r="637" spans="2:7" x14ac:dyDescent="0.25">
      <c r="B637" s="84"/>
      <c r="C637" s="96"/>
      <c r="D637" s="96"/>
      <c r="E637" s="96"/>
      <c r="F637" s="96"/>
      <c r="G637" s="96"/>
    </row>
    <row r="638" spans="2:7" x14ac:dyDescent="0.25">
      <c r="B638" s="84"/>
      <c r="C638" s="96"/>
      <c r="D638" s="96"/>
      <c r="E638" s="96"/>
      <c r="F638" s="96"/>
      <c r="G638" s="96"/>
    </row>
    <row r="639" spans="2:7" x14ac:dyDescent="0.25">
      <c r="B639" s="84"/>
      <c r="C639" s="96"/>
      <c r="D639" s="96"/>
      <c r="E639" s="96"/>
      <c r="F639" s="96"/>
      <c r="G639" s="96"/>
    </row>
    <row r="640" spans="2:7" x14ac:dyDescent="0.25">
      <c r="B640" s="84"/>
      <c r="C640" s="96"/>
      <c r="D640" s="96"/>
      <c r="E640" s="96"/>
      <c r="F640" s="96"/>
      <c r="G640" s="96"/>
    </row>
    <row r="641" spans="2:7" x14ac:dyDescent="0.25">
      <c r="B641" s="84"/>
      <c r="C641" s="96"/>
      <c r="D641" s="96"/>
      <c r="E641" s="96"/>
      <c r="F641" s="96"/>
      <c r="G641" s="96"/>
    </row>
    <row r="642" spans="2:7" x14ac:dyDescent="0.25">
      <c r="B642" s="84"/>
      <c r="C642" s="96"/>
      <c r="D642" s="96"/>
      <c r="E642" s="96"/>
      <c r="F642" s="96"/>
      <c r="G642" s="96"/>
    </row>
    <row r="643" spans="2:7" x14ac:dyDescent="0.25">
      <c r="B643" s="84"/>
      <c r="C643" s="96"/>
      <c r="D643" s="96"/>
      <c r="E643" s="96"/>
      <c r="F643" s="96"/>
      <c r="G643" s="96"/>
    </row>
    <row r="644" spans="2:7" x14ac:dyDescent="0.25">
      <c r="B644" s="84"/>
      <c r="C644" s="96"/>
      <c r="D644" s="96"/>
      <c r="E644" s="96"/>
      <c r="F644" s="96"/>
      <c r="G644" s="97"/>
    </row>
    <row r="645" spans="2:7" x14ac:dyDescent="0.25">
      <c r="B645" s="94"/>
      <c r="C645" s="98"/>
      <c r="D645" s="97"/>
      <c r="E645" s="97"/>
    </row>
    <row r="647" spans="2:7" x14ac:dyDescent="0.25">
      <c r="B647" s="84"/>
      <c r="C647" s="96"/>
      <c r="D647" s="96"/>
      <c r="E647" s="96"/>
      <c r="F647" s="96"/>
      <c r="G647" s="96"/>
    </row>
    <row r="648" spans="2:7" x14ac:dyDescent="0.25">
      <c r="B648" s="84"/>
      <c r="C648" s="96"/>
      <c r="D648" s="96"/>
      <c r="E648" s="96"/>
      <c r="F648" s="96"/>
      <c r="G648" s="96"/>
    </row>
    <row r="649" spans="2:7" x14ac:dyDescent="0.25">
      <c r="B649" s="84"/>
      <c r="C649" s="96"/>
      <c r="D649" s="96"/>
      <c r="E649" s="96"/>
      <c r="F649" s="96"/>
      <c r="G649" s="96"/>
    </row>
    <row r="650" spans="2:7" x14ac:dyDescent="0.25">
      <c r="B650" s="84"/>
      <c r="C650" s="96"/>
      <c r="D650" s="96"/>
      <c r="E650" s="96"/>
      <c r="F650" s="96"/>
      <c r="G650" s="96"/>
    </row>
    <row r="651" spans="2:7" x14ac:dyDescent="0.25">
      <c r="B651" s="84"/>
      <c r="C651" s="96"/>
      <c r="D651" s="96"/>
      <c r="E651" s="96"/>
      <c r="F651" s="96"/>
      <c r="G651" s="96"/>
    </row>
    <row r="652" spans="2:7" x14ac:dyDescent="0.25">
      <c r="B652" s="84"/>
      <c r="C652" s="96"/>
      <c r="D652" s="96"/>
      <c r="E652" s="96"/>
      <c r="F652" s="96"/>
      <c r="G652" s="96"/>
    </row>
    <row r="653" spans="2:7" x14ac:dyDescent="0.25">
      <c r="B653" s="84"/>
      <c r="C653" s="96"/>
      <c r="D653" s="96"/>
      <c r="E653" s="96"/>
      <c r="F653" s="96"/>
      <c r="G653" s="96"/>
    </row>
    <row r="654" spans="2:7" x14ac:dyDescent="0.25">
      <c r="B654" s="84"/>
      <c r="C654" s="96"/>
      <c r="D654" s="96"/>
      <c r="E654" s="96"/>
      <c r="F654" s="96"/>
      <c r="G654" s="96"/>
    </row>
    <row r="655" spans="2:7" x14ac:dyDescent="0.25">
      <c r="B655" s="84"/>
      <c r="C655" s="96"/>
      <c r="D655" s="96"/>
      <c r="E655" s="96"/>
      <c r="F655" s="96"/>
      <c r="G655" s="96"/>
    </row>
    <row r="656" spans="2:7" x14ac:dyDescent="0.25">
      <c r="B656" s="84"/>
      <c r="C656" s="96"/>
      <c r="D656" s="96"/>
      <c r="E656" s="96"/>
      <c r="F656" s="96"/>
      <c r="G656" s="96"/>
    </row>
    <row r="657" spans="2:7" x14ac:dyDescent="0.25">
      <c r="B657" s="84"/>
      <c r="C657" s="96"/>
      <c r="D657" s="96"/>
      <c r="E657" s="96"/>
      <c r="F657" s="96"/>
      <c r="G657" s="96"/>
    </row>
    <row r="658" spans="2:7" x14ac:dyDescent="0.25">
      <c r="B658" s="84"/>
      <c r="C658" s="96"/>
      <c r="D658" s="96"/>
      <c r="E658" s="96"/>
      <c r="F658" s="96"/>
      <c r="G658" s="97"/>
    </row>
    <row r="659" spans="2:7" x14ac:dyDescent="0.25">
      <c r="B659" s="94"/>
      <c r="C659" s="97"/>
      <c r="D659" s="97"/>
      <c r="E659" s="97"/>
      <c r="F659" s="96"/>
      <c r="G659" s="96"/>
    </row>
    <row r="660" spans="2:7" x14ac:dyDescent="0.25">
      <c r="B660" s="84"/>
      <c r="C660" s="96"/>
      <c r="D660" s="96"/>
      <c r="E660" s="96"/>
      <c r="F660" s="96"/>
      <c r="G660" s="96"/>
    </row>
    <row r="661" spans="2:7" x14ac:dyDescent="0.25">
      <c r="B661" s="84"/>
      <c r="C661" s="96"/>
      <c r="D661" s="96"/>
      <c r="E661" s="96"/>
      <c r="F661" s="96"/>
      <c r="G661" s="96"/>
    </row>
    <row r="662" spans="2:7" x14ac:dyDescent="0.25">
      <c r="B662" s="84"/>
      <c r="C662" s="96"/>
      <c r="D662" s="96"/>
      <c r="E662" s="96"/>
      <c r="F662" s="96"/>
      <c r="G662" s="96"/>
    </row>
    <row r="663" spans="2:7" x14ac:dyDescent="0.25">
      <c r="B663" s="84"/>
      <c r="C663" s="96"/>
      <c r="D663" s="96"/>
      <c r="E663" s="96"/>
      <c r="F663" s="96"/>
      <c r="G663" s="96"/>
    </row>
    <row r="664" spans="2:7" x14ac:dyDescent="0.25">
      <c r="B664" s="84"/>
      <c r="C664" s="96"/>
      <c r="D664" s="96"/>
      <c r="E664" s="96"/>
      <c r="F664" s="96"/>
      <c r="G664" s="96"/>
    </row>
    <row r="665" spans="2:7" x14ac:dyDescent="0.25">
      <c r="B665" s="84"/>
      <c r="C665" s="96"/>
      <c r="D665" s="96"/>
      <c r="E665" s="96"/>
      <c r="F665" s="96"/>
      <c r="G665" s="96"/>
    </row>
    <row r="666" spans="2:7" x14ac:dyDescent="0.25">
      <c r="B666" s="84"/>
      <c r="C666" s="96"/>
      <c r="D666" s="96"/>
      <c r="E666" s="96"/>
      <c r="F666" s="96"/>
      <c r="G666" s="96"/>
    </row>
    <row r="667" spans="2:7" x14ac:dyDescent="0.25">
      <c r="B667" s="84"/>
      <c r="C667" s="96"/>
      <c r="D667" s="96"/>
      <c r="E667" s="96"/>
      <c r="F667" s="96"/>
      <c r="G667" s="96"/>
    </row>
    <row r="668" spans="2:7" x14ac:dyDescent="0.25">
      <c r="B668" s="84"/>
      <c r="C668" s="96"/>
      <c r="D668" s="96"/>
      <c r="E668" s="96"/>
      <c r="F668" s="96"/>
      <c r="G668" s="96"/>
    </row>
    <row r="669" spans="2:7" x14ac:dyDescent="0.25">
      <c r="B669" s="84"/>
      <c r="C669" s="96"/>
      <c r="D669" s="96"/>
      <c r="E669" s="96"/>
      <c r="F669" s="96"/>
      <c r="G669" s="96"/>
    </row>
    <row r="670" spans="2:7" x14ac:dyDescent="0.25">
      <c r="B670" s="84"/>
      <c r="C670" s="96"/>
      <c r="D670" s="96"/>
      <c r="E670" s="96"/>
      <c r="F670" s="96"/>
      <c r="G670" s="96"/>
    </row>
    <row r="671" spans="2:7" x14ac:dyDescent="0.25">
      <c r="B671" s="84"/>
      <c r="C671" s="96"/>
      <c r="D671" s="96"/>
      <c r="E671" s="96"/>
      <c r="F671" s="96"/>
      <c r="G671" s="96"/>
    </row>
    <row r="672" spans="2:7" x14ac:dyDescent="0.25">
      <c r="B672" s="84"/>
      <c r="C672" s="96"/>
      <c r="D672" s="96"/>
      <c r="E672" s="96"/>
      <c r="F672" s="96"/>
      <c r="G672" s="97"/>
    </row>
    <row r="673" spans="2:7" x14ac:dyDescent="0.25">
      <c r="B673" s="94"/>
      <c r="C673" s="98"/>
      <c r="D673" s="97"/>
      <c r="E673" s="97"/>
    </row>
    <row r="675" spans="2:7" x14ac:dyDescent="0.25">
      <c r="B675" s="84"/>
      <c r="C675" s="96"/>
      <c r="D675" s="96"/>
      <c r="E675" s="96"/>
      <c r="F675" s="96"/>
      <c r="G675" s="96"/>
    </row>
    <row r="676" spans="2:7" x14ac:dyDescent="0.25">
      <c r="B676" s="84"/>
      <c r="C676" s="96"/>
      <c r="D676" s="96"/>
      <c r="E676" s="96"/>
      <c r="F676" s="96"/>
      <c r="G676" s="96"/>
    </row>
    <row r="677" spans="2:7" x14ac:dyDescent="0.25">
      <c r="B677" s="84"/>
      <c r="C677" s="96"/>
      <c r="D677" s="96"/>
      <c r="E677" s="96"/>
      <c r="F677" s="96"/>
      <c r="G677" s="96"/>
    </row>
    <row r="678" spans="2:7" x14ac:dyDescent="0.25">
      <c r="B678" s="84"/>
      <c r="C678" s="96"/>
      <c r="D678" s="96"/>
      <c r="E678" s="96"/>
      <c r="F678" s="96"/>
      <c r="G678" s="96"/>
    </row>
    <row r="679" spans="2:7" x14ac:dyDescent="0.25">
      <c r="B679" s="84"/>
      <c r="C679" s="96"/>
      <c r="D679" s="96"/>
      <c r="E679" s="96"/>
      <c r="F679" s="96"/>
      <c r="G679" s="96"/>
    </row>
    <row r="680" spans="2:7" x14ac:dyDescent="0.25">
      <c r="B680" s="84"/>
      <c r="C680" s="96"/>
      <c r="D680" s="96"/>
      <c r="E680" s="96"/>
      <c r="F680" s="96"/>
      <c r="G680" s="96"/>
    </row>
    <row r="681" spans="2:7" x14ac:dyDescent="0.25">
      <c r="B681" s="84"/>
      <c r="C681" s="96"/>
      <c r="D681" s="96"/>
      <c r="E681" s="96"/>
      <c r="F681" s="96"/>
      <c r="G681" s="96"/>
    </row>
    <row r="682" spans="2:7" x14ac:dyDescent="0.25">
      <c r="B682" s="84"/>
      <c r="C682" s="96"/>
      <c r="D682" s="96"/>
      <c r="E682" s="96"/>
      <c r="F682" s="96"/>
      <c r="G682" s="96"/>
    </row>
    <row r="683" spans="2:7" x14ac:dyDescent="0.25">
      <c r="B683" s="84"/>
      <c r="C683" s="96"/>
      <c r="D683" s="96"/>
      <c r="E683" s="96"/>
      <c r="F683" s="96"/>
      <c r="G683" s="96"/>
    </row>
    <row r="684" spans="2:7" x14ac:dyDescent="0.25">
      <c r="B684" s="84"/>
      <c r="C684" s="96"/>
      <c r="D684" s="96"/>
      <c r="E684" s="96"/>
      <c r="F684" s="96"/>
      <c r="G684" s="96"/>
    </row>
    <row r="685" spans="2:7" x14ac:dyDescent="0.25">
      <c r="B685" s="84"/>
      <c r="C685" s="96"/>
      <c r="D685" s="96"/>
      <c r="E685" s="96"/>
      <c r="F685" s="96"/>
      <c r="G685" s="96"/>
    </row>
    <row r="686" spans="2:7" x14ac:dyDescent="0.25">
      <c r="B686" s="84"/>
      <c r="C686" s="96"/>
      <c r="D686" s="96"/>
      <c r="E686" s="96"/>
      <c r="F686" s="96"/>
      <c r="G686" s="97"/>
    </row>
    <row r="687" spans="2:7" x14ac:dyDescent="0.25">
      <c r="B687" s="94"/>
      <c r="C687" s="97"/>
      <c r="D687" s="97"/>
      <c r="E687" s="97"/>
      <c r="F687" s="96"/>
      <c r="G687" s="96"/>
    </row>
    <row r="688" spans="2:7" x14ac:dyDescent="0.25">
      <c r="B688" s="84"/>
      <c r="C688" s="96"/>
      <c r="D688" s="96"/>
      <c r="E688" s="96"/>
      <c r="F688" s="96"/>
      <c r="G688" s="96"/>
    </row>
    <row r="689" spans="2:7" x14ac:dyDescent="0.25">
      <c r="B689" s="84"/>
      <c r="C689" s="96"/>
      <c r="D689" s="96"/>
      <c r="E689" s="96"/>
      <c r="F689" s="96"/>
      <c r="G689" s="96"/>
    </row>
    <row r="690" spans="2:7" x14ac:dyDescent="0.25">
      <c r="B690" s="84"/>
      <c r="C690" s="96"/>
      <c r="D690" s="96"/>
      <c r="E690" s="96"/>
      <c r="F690" s="96"/>
      <c r="G690" s="96"/>
    </row>
    <row r="691" spans="2:7" x14ac:dyDescent="0.25">
      <c r="B691" s="84"/>
      <c r="C691" s="96"/>
      <c r="D691" s="96"/>
      <c r="E691" s="96"/>
      <c r="F691" s="96"/>
      <c r="G691" s="96"/>
    </row>
    <row r="692" spans="2:7" x14ac:dyDescent="0.25">
      <c r="B692" s="84"/>
      <c r="C692" s="96"/>
      <c r="D692" s="96"/>
      <c r="E692" s="96"/>
      <c r="F692" s="96"/>
      <c r="G692" s="96"/>
    </row>
    <row r="693" spans="2:7" x14ac:dyDescent="0.25">
      <c r="B693" s="84"/>
      <c r="C693" s="96"/>
      <c r="D693" s="96"/>
      <c r="E693" s="96"/>
      <c r="F693" s="96"/>
      <c r="G693" s="96"/>
    </row>
    <row r="694" spans="2:7" x14ac:dyDescent="0.25">
      <c r="B694" s="84"/>
      <c r="C694" s="96"/>
      <c r="D694" s="96"/>
      <c r="E694" s="96"/>
      <c r="F694" s="96"/>
      <c r="G694" s="96"/>
    </row>
    <row r="695" spans="2:7" x14ac:dyDescent="0.25">
      <c r="B695" s="84"/>
      <c r="C695" s="96"/>
      <c r="D695" s="96"/>
      <c r="E695" s="96"/>
      <c r="F695" s="96"/>
      <c r="G695" s="96"/>
    </row>
    <row r="696" spans="2:7" x14ac:dyDescent="0.25">
      <c r="B696" s="84"/>
      <c r="C696" s="96"/>
      <c r="D696" s="96"/>
      <c r="E696" s="96"/>
      <c r="F696" s="96"/>
      <c r="G696" s="96"/>
    </row>
    <row r="697" spans="2:7" x14ac:dyDescent="0.25">
      <c r="B697" s="84"/>
      <c r="C697" s="96"/>
      <c r="D697" s="96"/>
      <c r="E697" s="96"/>
      <c r="F697" s="96"/>
      <c r="G697" s="96"/>
    </row>
    <row r="698" spans="2:7" x14ac:dyDescent="0.25">
      <c r="B698" s="84"/>
      <c r="C698" s="96"/>
      <c r="D698" s="96"/>
      <c r="E698" s="96"/>
      <c r="F698" s="96"/>
      <c r="G698" s="96"/>
    </row>
    <row r="699" spans="2:7" x14ac:dyDescent="0.25">
      <c r="B699" s="84"/>
      <c r="C699" s="96"/>
      <c r="D699" s="96"/>
      <c r="E699" s="96"/>
      <c r="F699" s="96"/>
      <c r="G699" s="96"/>
    </row>
    <row r="700" spans="2:7" x14ac:dyDescent="0.25">
      <c r="B700" s="84"/>
      <c r="C700" s="96"/>
      <c r="D700" s="96"/>
      <c r="E700" s="96"/>
      <c r="F700" s="96"/>
      <c r="G700" s="97"/>
    </row>
    <row r="701" spans="2:7" x14ac:dyDescent="0.25">
      <c r="B701" s="94"/>
      <c r="C701" s="98"/>
      <c r="D701" s="97"/>
      <c r="E701" s="97"/>
    </row>
    <row r="703" spans="2:7" x14ac:dyDescent="0.25">
      <c r="B703" s="84"/>
      <c r="C703" s="96"/>
      <c r="D703" s="96"/>
      <c r="E703" s="96"/>
      <c r="F703" s="96"/>
      <c r="G703" s="96"/>
    </row>
    <row r="704" spans="2:7" x14ac:dyDescent="0.25">
      <c r="B704" s="84"/>
      <c r="C704" s="96"/>
      <c r="D704" s="96"/>
      <c r="E704" s="96"/>
      <c r="F704" s="96"/>
      <c r="G704" s="96"/>
    </row>
    <row r="705" spans="2:7" x14ac:dyDescent="0.25">
      <c r="B705" s="84"/>
      <c r="C705" s="96"/>
      <c r="D705" s="96"/>
      <c r="E705" s="96"/>
      <c r="F705" s="96"/>
      <c r="G705" s="96"/>
    </row>
    <row r="706" spans="2:7" x14ac:dyDescent="0.25">
      <c r="B706" s="84"/>
      <c r="C706" s="96"/>
      <c r="D706" s="96"/>
      <c r="E706" s="96"/>
      <c r="F706" s="96"/>
      <c r="G706" s="96"/>
    </row>
    <row r="707" spans="2:7" x14ac:dyDescent="0.25">
      <c r="B707" s="84"/>
      <c r="C707" s="96"/>
      <c r="D707" s="96"/>
      <c r="E707" s="96"/>
      <c r="F707" s="96"/>
      <c r="G707" s="96"/>
    </row>
    <row r="708" spans="2:7" x14ac:dyDescent="0.25">
      <c r="B708" s="84"/>
      <c r="C708" s="96"/>
      <c r="D708" s="96"/>
      <c r="E708" s="96"/>
      <c r="F708" s="96"/>
      <c r="G708" s="96"/>
    </row>
    <row r="709" spans="2:7" x14ac:dyDescent="0.25">
      <c r="B709" s="84"/>
      <c r="C709" s="96"/>
      <c r="D709" s="96"/>
      <c r="E709" s="96"/>
      <c r="F709" s="96"/>
      <c r="G709" s="96"/>
    </row>
    <row r="710" spans="2:7" x14ac:dyDescent="0.25">
      <c r="B710" s="84"/>
      <c r="C710" s="96"/>
      <c r="D710" s="96"/>
      <c r="E710" s="96"/>
      <c r="F710" s="96"/>
      <c r="G710" s="96"/>
    </row>
    <row r="711" spans="2:7" x14ac:dyDescent="0.25">
      <c r="B711" s="84"/>
      <c r="C711" s="96"/>
      <c r="D711" s="96"/>
      <c r="E711" s="96"/>
      <c r="F711" s="96"/>
      <c r="G711" s="96"/>
    </row>
    <row r="712" spans="2:7" x14ac:dyDescent="0.25">
      <c r="B712" s="84"/>
      <c r="C712" s="96"/>
      <c r="D712" s="96"/>
      <c r="E712" s="96"/>
      <c r="F712" s="96"/>
      <c r="G712" s="96"/>
    </row>
    <row r="713" spans="2:7" x14ac:dyDescent="0.25">
      <c r="B713" s="84"/>
      <c r="C713" s="96"/>
      <c r="D713" s="96"/>
      <c r="E713" s="96"/>
      <c r="F713" s="96"/>
      <c r="G713" s="96"/>
    </row>
    <row r="714" spans="2:7" x14ac:dyDescent="0.25">
      <c r="B714" s="84"/>
      <c r="C714" s="96"/>
      <c r="D714" s="96"/>
      <c r="E714" s="96"/>
      <c r="F714" s="96"/>
      <c r="G714" s="97"/>
    </row>
    <row r="715" spans="2:7" x14ac:dyDescent="0.25">
      <c r="B715" s="94"/>
      <c r="C715" s="97"/>
      <c r="D715" s="97"/>
      <c r="E715" s="97"/>
      <c r="F715" s="96"/>
      <c r="G715" s="96"/>
    </row>
    <row r="716" spans="2:7" x14ac:dyDescent="0.25">
      <c r="B716" s="84"/>
      <c r="C716" s="96"/>
      <c r="D716" s="96"/>
      <c r="E716" s="96"/>
      <c r="F716" s="96"/>
      <c r="G716" s="96"/>
    </row>
    <row r="717" spans="2:7" x14ac:dyDescent="0.25">
      <c r="B717" s="84"/>
      <c r="C717" s="96"/>
      <c r="D717" s="96"/>
      <c r="E717" s="96"/>
      <c r="F717" s="96"/>
      <c r="G717" s="96"/>
    </row>
    <row r="718" spans="2:7" x14ac:dyDescent="0.25">
      <c r="B718" s="84"/>
      <c r="C718" s="96"/>
      <c r="D718" s="96"/>
      <c r="E718" s="96"/>
      <c r="F718" s="96"/>
      <c r="G718" s="96"/>
    </row>
    <row r="719" spans="2:7" x14ac:dyDescent="0.25">
      <c r="B719" s="84"/>
      <c r="C719" s="96"/>
      <c r="D719" s="96"/>
      <c r="E719" s="96"/>
      <c r="F719" s="96"/>
      <c r="G719" s="96"/>
    </row>
    <row r="720" spans="2:7" x14ac:dyDescent="0.25">
      <c r="B720" s="84"/>
      <c r="C720" s="96"/>
      <c r="D720" s="96"/>
      <c r="E720" s="96"/>
      <c r="F720" s="96"/>
      <c r="G720" s="96"/>
    </row>
    <row r="721" spans="2:7" x14ac:dyDescent="0.25">
      <c r="B721" s="84"/>
      <c r="C721" s="96"/>
      <c r="D721" s="96"/>
      <c r="E721" s="96"/>
      <c r="F721" s="96"/>
      <c r="G721" s="96"/>
    </row>
    <row r="722" spans="2:7" x14ac:dyDescent="0.25">
      <c r="B722" s="84"/>
      <c r="C722" s="96"/>
      <c r="D722" s="96"/>
      <c r="E722" s="96"/>
      <c r="F722" s="96"/>
      <c r="G722" s="96"/>
    </row>
    <row r="723" spans="2:7" x14ac:dyDescent="0.25">
      <c r="B723" s="84"/>
      <c r="C723" s="96"/>
      <c r="D723" s="96"/>
      <c r="E723" s="96"/>
      <c r="F723" s="96"/>
      <c r="G723" s="96"/>
    </row>
    <row r="724" spans="2:7" x14ac:dyDescent="0.25">
      <c r="B724" s="84"/>
      <c r="C724" s="96"/>
      <c r="D724" s="96"/>
      <c r="E724" s="96"/>
      <c r="F724" s="96"/>
      <c r="G724" s="96"/>
    </row>
    <row r="725" spans="2:7" x14ac:dyDescent="0.25">
      <c r="B725" s="84"/>
      <c r="C725" s="96"/>
      <c r="D725" s="96"/>
      <c r="E725" s="96"/>
      <c r="F725" s="96"/>
      <c r="G725" s="96"/>
    </row>
    <row r="726" spans="2:7" x14ac:dyDescent="0.25">
      <c r="B726" s="84"/>
      <c r="C726" s="96"/>
      <c r="D726" s="96"/>
      <c r="E726" s="96"/>
      <c r="F726" s="96"/>
      <c r="G726" s="96"/>
    </row>
    <row r="727" spans="2:7" x14ac:dyDescent="0.25">
      <c r="B727" s="84"/>
      <c r="C727" s="96"/>
      <c r="D727" s="96"/>
      <c r="E727" s="96"/>
      <c r="F727" s="96"/>
      <c r="G727" s="96"/>
    </row>
    <row r="728" spans="2:7" x14ac:dyDescent="0.25">
      <c r="B728" s="84"/>
      <c r="C728" s="96"/>
      <c r="D728" s="96"/>
      <c r="E728" s="96"/>
      <c r="F728" s="96"/>
      <c r="G728" s="97"/>
    </row>
    <row r="729" spans="2:7" x14ac:dyDescent="0.25">
      <c r="B729" s="94"/>
      <c r="C729" s="98"/>
      <c r="D729" s="97"/>
      <c r="E729" s="97"/>
    </row>
    <row r="731" spans="2:7" x14ac:dyDescent="0.25">
      <c r="B731" s="84"/>
      <c r="C731" s="96"/>
      <c r="D731" s="96"/>
      <c r="E731" s="96"/>
      <c r="F731" s="96"/>
      <c r="G731" s="96"/>
    </row>
    <row r="732" spans="2:7" x14ac:dyDescent="0.25">
      <c r="B732" s="84"/>
      <c r="C732" s="96"/>
      <c r="D732" s="96"/>
      <c r="E732" s="96"/>
      <c r="F732" s="96"/>
      <c r="G732" s="96"/>
    </row>
    <row r="733" spans="2:7" x14ac:dyDescent="0.25">
      <c r="B733" s="84"/>
      <c r="C733" s="96"/>
      <c r="D733" s="96"/>
      <c r="E733" s="96"/>
      <c r="F733" s="96"/>
      <c r="G733" s="96"/>
    </row>
    <row r="734" spans="2:7" x14ac:dyDescent="0.25">
      <c r="B734" s="84"/>
      <c r="C734" s="96"/>
      <c r="D734" s="96"/>
      <c r="E734" s="96"/>
      <c r="F734" s="96"/>
      <c r="G734" s="96"/>
    </row>
    <row r="735" spans="2:7" x14ac:dyDescent="0.25">
      <c r="B735" s="84"/>
      <c r="C735" s="96"/>
      <c r="D735" s="96"/>
      <c r="E735" s="96"/>
      <c r="F735" s="96"/>
      <c r="G735" s="96"/>
    </row>
    <row r="736" spans="2:7" x14ac:dyDescent="0.25">
      <c r="B736" s="84"/>
      <c r="C736" s="96"/>
      <c r="D736" s="96"/>
      <c r="E736" s="96"/>
      <c r="F736" s="96"/>
      <c r="G736" s="96"/>
    </row>
    <row r="737" spans="2:7" x14ac:dyDescent="0.25">
      <c r="B737" s="84"/>
      <c r="C737" s="96"/>
      <c r="D737" s="96"/>
      <c r="E737" s="96"/>
      <c r="F737" s="96"/>
      <c r="G737" s="96"/>
    </row>
    <row r="738" spans="2:7" x14ac:dyDescent="0.25">
      <c r="B738" s="84"/>
      <c r="C738" s="96"/>
      <c r="D738" s="96"/>
      <c r="E738" s="96"/>
      <c r="F738" s="96"/>
      <c r="G738" s="96"/>
    </row>
    <row r="739" spans="2:7" x14ac:dyDescent="0.25">
      <c r="B739" s="84"/>
      <c r="C739" s="96"/>
      <c r="D739" s="96"/>
      <c r="E739" s="96"/>
      <c r="F739" s="96"/>
      <c r="G739" s="96"/>
    </row>
    <row r="740" spans="2:7" x14ac:dyDescent="0.25">
      <c r="B740" s="84"/>
      <c r="C740" s="96"/>
      <c r="D740" s="96"/>
      <c r="E740" s="96"/>
      <c r="F740" s="96"/>
      <c r="G740" s="96"/>
    </row>
    <row r="741" spans="2:7" x14ac:dyDescent="0.25">
      <c r="B741" s="84"/>
      <c r="C741" s="96"/>
      <c r="D741" s="96"/>
      <c r="E741" s="96"/>
      <c r="F741" s="96"/>
      <c r="G741" s="96"/>
    </row>
    <row r="742" spans="2:7" x14ac:dyDescent="0.25">
      <c r="B742" s="84"/>
      <c r="C742" s="96"/>
      <c r="D742" s="96"/>
      <c r="E742" s="96"/>
      <c r="F742" s="96"/>
      <c r="G742" s="97"/>
    </row>
    <row r="743" spans="2:7" x14ac:dyDescent="0.25">
      <c r="B743" s="94"/>
      <c r="C743" s="97"/>
      <c r="D743" s="97"/>
      <c r="E743" s="97"/>
      <c r="F743" s="96"/>
      <c r="G743" s="96"/>
    </row>
    <row r="744" spans="2:7" x14ac:dyDescent="0.25">
      <c r="B744" s="84"/>
      <c r="C744" s="96"/>
      <c r="D744" s="96"/>
      <c r="E744" s="96"/>
      <c r="F744" s="96"/>
      <c r="G744" s="96"/>
    </row>
    <row r="745" spans="2:7" x14ac:dyDescent="0.25">
      <c r="B745" s="84"/>
      <c r="C745" s="96"/>
      <c r="D745" s="96"/>
      <c r="E745" s="96"/>
      <c r="F745" s="96"/>
      <c r="G745" s="96"/>
    </row>
    <row r="746" spans="2:7" x14ac:dyDescent="0.25">
      <c r="B746" s="84"/>
      <c r="C746" s="96"/>
      <c r="D746" s="96"/>
      <c r="E746" s="96"/>
      <c r="F746" s="96"/>
      <c r="G746" s="96"/>
    </row>
    <row r="747" spans="2:7" x14ac:dyDescent="0.25">
      <c r="B747" s="84"/>
      <c r="C747" s="96"/>
      <c r="D747" s="96"/>
      <c r="E747" s="96"/>
      <c r="F747" s="96"/>
      <c r="G747" s="96"/>
    </row>
    <row r="748" spans="2:7" x14ac:dyDescent="0.25">
      <c r="B748" s="84"/>
      <c r="C748" s="96"/>
      <c r="D748" s="96"/>
      <c r="E748" s="96"/>
      <c r="F748" s="96"/>
      <c r="G748" s="96"/>
    </row>
    <row r="749" spans="2:7" x14ac:dyDescent="0.25">
      <c r="B749" s="84"/>
      <c r="C749" s="96"/>
      <c r="D749" s="96"/>
      <c r="E749" s="96"/>
      <c r="F749" s="96"/>
      <c r="G749" s="96"/>
    </row>
    <row r="750" spans="2:7" x14ac:dyDescent="0.25">
      <c r="B750" s="84"/>
      <c r="C750" s="96"/>
      <c r="D750" s="96"/>
      <c r="E750" s="96"/>
      <c r="F750" s="96"/>
      <c r="G750" s="96"/>
    </row>
    <row r="751" spans="2:7" x14ac:dyDescent="0.25">
      <c r="B751" s="84"/>
      <c r="C751" s="96"/>
      <c r="D751" s="96"/>
      <c r="E751" s="96"/>
      <c r="F751" s="96"/>
      <c r="G751" s="96"/>
    </row>
    <row r="752" spans="2:7" x14ac:dyDescent="0.25">
      <c r="B752" s="84"/>
      <c r="C752" s="96"/>
      <c r="D752" s="96"/>
      <c r="E752" s="96"/>
      <c r="F752" s="96"/>
      <c r="G752" s="96"/>
    </row>
    <row r="753" spans="2:7" x14ac:dyDescent="0.25">
      <c r="B753" s="84"/>
      <c r="C753" s="96"/>
      <c r="D753" s="96"/>
      <c r="E753" s="96"/>
      <c r="F753" s="96"/>
      <c r="G753" s="96"/>
    </row>
    <row r="754" spans="2:7" x14ac:dyDescent="0.25">
      <c r="B754" s="84"/>
      <c r="C754" s="96"/>
      <c r="D754" s="96"/>
      <c r="E754" s="96"/>
      <c r="F754" s="96"/>
      <c r="G754" s="96"/>
    </row>
    <row r="755" spans="2:7" x14ac:dyDescent="0.25">
      <c r="B755" s="84"/>
      <c r="C755" s="96"/>
      <c r="D755" s="96"/>
      <c r="E755" s="96"/>
      <c r="F755" s="96"/>
      <c r="G755" s="96"/>
    </row>
    <row r="756" spans="2:7" x14ac:dyDescent="0.25">
      <c r="B756" s="84"/>
      <c r="C756" s="96"/>
      <c r="D756" s="96"/>
      <c r="E756" s="96"/>
      <c r="F756" s="96"/>
      <c r="G756" s="97"/>
    </row>
    <row r="757" spans="2:7" x14ac:dyDescent="0.25">
      <c r="B757" s="94"/>
      <c r="C757" s="98"/>
      <c r="D757" s="97"/>
      <c r="E757" s="97"/>
    </row>
    <row r="759" spans="2:7" x14ac:dyDescent="0.25">
      <c r="B759" s="84"/>
      <c r="C759" s="96"/>
      <c r="D759" s="96"/>
      <c r="E759" s="96"/>
      <c r="F759" s="96"/>
      <c r="G759" s="96"/>
    </row>
    <row r="760" spans="2:7" x14ac:dyDescent="0.25">
      <c r="B760" s="84"/>
      <c r="C760" s="96"/>
      <c r="D760" s="96"/>
      <c r="E760" s="96"/>
      <c r="F760" s="96"/>
      <c r="G760" s="96"/>
    </row>
    <row r="761" spans="2:7" x14ac:dyDescent="0.25">
      <c r="B761" s="84"/>
      <c r="C761" s="96"/>
      <c r="D761" s="96"/>
      <c r="E761" s="96"/>
      <c r="F761" s="96"/>
      <c r="G761" s="96"/>
    </row>
    <row r="762" spans="2:7" x14ac:dyDescent="0.25">
      <c r="B762" s="84"/>
      <c r="C762" s="96"/>
      <c r="D762" s="96"/>
      <c r="E762" s="96"/>
      <c r="F762" s="96"/>
      <c r="G762" s="96"/>
    </row>
    <row r="763" spans="2:7" x14ac:dyDescent="0.25">
      <c r="B763" s="84"/>
      <c r="C763" s="96"/>
      <c r="D763" s="96"/>
      <c r="E763" s="96"/>
      <c r="F763" s="96"/>
      <c r="G763" s="96"/>
    </row>
    <row r="764" spans="2:7" x14ac:dyDescent="0.25">
      <c r="B764" s="84"/>
      <c r="C764" s="96"/>
      <c r="D764" s="96"/>
      <c r="E764" s="96"/>
      <c r="F764" s="96"/>
      <c r="G764" s="96"/>
    </row>
    <row r="765" spans="2:7" x14ac:dyDescent="0.25">
      <c r="B765" s="84"/>
      <c r="C765" s="96"/>
      <c r="D765" s="96"/>
      <c r="E765" s="96"/>
      <c r="F765" s="96"/>
      <c r="G765" s="96"/>
    </row>
    <row r="766" spans="2:7" x14ac:dyDescent="0.25">
      <c r="B766" s="84"/>
      <c r="C766" s="96"/>
      <c r="D766" s="96"/>
      <c r="E766" s="96"/>
      <c r="F766" s="96"/>
      <c r="G766" s="96"/>
    </row>
    <row r="767" spans="2:7" x14ac:dyDescent="0.25">
      <c r="B767" s="84"/>
      <c r="C767" s="96"/>
      <c r="D767" s="96"/>
      <c r="E767" s="96"/>
      <c r="F767" s="96"/>
      <c r="G767" s="96"/>
    </row>
    <row r="768" spans="2:7" x14ac:dyDescent="0.25">
      <c r="B768" s="84"/>
      <c r="C768" s="96"/>
      <c r="D768" s="96"/>
      <c r="E768" s="96"/>
      <c r="F768" s="96"/>
      <c r="G768" s="96"/>
    </row>
    <row r="769" spans="2:7" x14ac:dyDescent="0.25">
      <c r="B769" s="84"/>
      <c r="C769" s="96"/>
      <c r="D769" s="96"/>
      <c r="E769" s="96"/>
      <c r="F769" s="96"/>
      <c r="G769" s="96"/>
    </row>
    <row r="770" spans="2:7" x14ac:dyDescent="0.25">
      <c r="B770" s="84"/>
      <c r="C770" s="96"/>
      <c r="D770" s="96"/>
      <c r="E770" s="96"/>
      <c r="F770" s="96"/>
      <c r="G770" s="97"/>
    </row>
    <row r="771" spans="2:7" x14ac:dyDescent="0.25">
      <c r="B771" s="94"/>
      <c r="C771" s="97"/>
      <c r="D771" s="97"/>
      <c r="E771" s="97"/>
      <c r="F771" s="96"/>
      <c r="G771" s="96"/>
    </row>
    <row r="772" spans="2:7" x14ac:dyDescent="0.25">
      <c r="B772" s="84"/>
      <c r="C772" s="96"/>
      <c r="D772" s="96"/>
      <c r="E772" s="96"/>
      <c r="F772" s="96"/>
      <c r="G772" s="96"/>
    </row>
    <row r="773" spans="2:7" x14ac:dyDescent="0.25">
      <c r="B773" s="84"/>
      <c r="C773" s="96"/>
      <c r="D773" s="96"/>
      <c r="E773" s="96"/>
      <c r="F773" s="96"/>
      <c r="G773" s="96"/>
    </row>
    <row r="774" spans="2:7" x14ac:dyDescent="0.25">
      <c r="B774" s="84"/>
      <c r="C774" s="96"/>
      <c r="D774" s="96"/>
      <c r="E774" s="96"/>
      <c r="F774" s="96"/>
      <c r="G774" s="96"/>
    </row>
    <row r="775" spans="2:7" x14ac:dyDescent="0.25">
      <c r="B775" s="84"/>
      <c r="C775" s="96"/>
      <c r="D775" s="96"/>
      <c r="E775" s="96"/>
      <c r="F775" s="96"/>
      <c r="G775" s="96"/>
    </row>
    <row r="776" spans="2:7" x14ac:dyDescent="0.25">
      <c r="B776" s="84"/>
      <c r="C776" s="96"/>
      <c r="D776" s="96"/>
      <c r="E776" s="96"/>
      <c r="F776" s="96"/>
      <c r="G776" s="96"/>
    </row>
    <row r="777" spans="2:7" x14ac:dyDescent="0.25">
      <c r="B777" s="84"/>
      <c r="C777" s="96"/>
      <c r="D777" s="96"/>
      <c r="E777" s="96"/>
      <c r="F777" s="96"/>
      <c r="G777" s="96"/>
    </row>
    <row r="778" spans="2:7" x14ac:dyDescent="0.25">
      <c r="B778" s="84"/>
      <c r="C778" s="96"/>
      <c r="D778" s="96"/>
      <c r="E778" s="96"/>
      <c r="F778" s="96"/>
      <c r="G778" s="96"/>
    </row>
    <row r="779" spans="2:7" x14ac:dyDescent="0.25">
      <c r="B779" s="84"/>
      <c r="C779" s="96"/>
      <c r="D779" s="96"/>
      <c r="E779" s="96"/>
      <c r="F779" s="96"/>
      <c r="G779" s="96"/>
    </row>
    <row r="780" spans="2:7" x14ac:dyDescent="0.25">
      <c r="B780" s="84"/>
      <c r="C780" s="96"/>
      <c r="D780" s="96"/>
      <c r="E780" s="96"/>
      <c r="F780" s="96"/>
      <c r="G780" s="96"/>
    </row>
    <row r="781" spans="2:7" x14ac:dyDescent="0.25">
      <c r="B781" s="84"/>
      <c r="C781" s="96"/>
      <c r="D781" s="96"/>
      <c r="E781" s="96"/>
      <c r="F781" s="96"/>
      <c r="G781" s="96"/>
    </row>
    <row r="782" spans="2:7" x14ac:dyDescent="0.25">
      <c r="B782" s="84"/>
      <c r="C782" s="96"/>
      <c r="D782" s="96"/>
      <c r="E782" s="96"/>
      <c r="F782" s="96"/>
      <c r="G782" s="96"/>
    </row>
    <row r="783" spans="2:7" x14ac:dyDescent="0.25">
      <c r="B783" s="84"/>
      <c r="C783" s="96"/>
      <c r="D783" s="96"/>
      <c r="E783" s="96"/>
      <c r="F783" s="96"/>
      <c r="G783" s="96"/>
    </row>
    <row r="784" spans="2:7" x14ac:dyDescent="0.25">
      <c r="B784" s="84"/>
      <c r="C784" s="96"/>
      <c r="D784" s="96"/>
      <c r="E784" s="96"/>
      <c r="F784" s="96"/>
      <c r="G784" s="97"/>
    </row>
    <row r="785" spans="2:7" x14ac:dyDescent="0.25">
      <c r="B785" s="94"/>
      <c r="C785" s="98"/>
      <c r="D785" s="97"/>
      <c r="E785" s="97"/>
    </row>
    <row r="787" spans="2:7" x14ac:dyDescent="0.25">
      <c r="B787" s="84"/>
      <c r="C787" s="96"/>
      <c r="D787" s="96"/>
      <c r="E787" s="96"/>
      <c r="F787" s="96"/>
      <c r="G787" s="96"/>
    </row>
    <row r="788" spans="2:7" x14ac:dyDescent="0.25">
      <c r="B788" s="84"/>
      <c r="C788" s="96"/>
      <c r="D788" s="96"/>
      <c r="E788" s="96"/>
      <c r="F788" s="96"/>
      <c r="G788" s="96"/>
    </row>
    <row r="789" spans="2:7" x14ac:dyDescent="0.25">
      <c r="B789" s="84"/>
      <c r="C789" s="96"/>
      <c r="D789" s="96"/>
      <c r="E789" s="96"/>
      <c r="F789" s="96"/>
      <c r="G789" s="96"/>
    </row>
    <row r="790" spans="2:7" x14ac:dyDescent="0.25">
      <c r="B790" s="84"/>
      <c r="C790" s="96"/>
      <c r="D790" s="96"/>
      <c r="E790" s="96"/>
      <c r="F790" s="96"/>
      <c r="G790" s="96"/>
    </row>
    <row r="791" spans="2:7" x14ac:dyDescent="0.25">
      <c r="B791" s="84"/>
      <c r="C791" s="96"/>
      <c r="D791" s="96"/>
      <c r="E791" s="96"/>
      <c r="F791" s="96"/>
      <c r="G791" s="96"/>
    </row>
    <row r="792" spans="2:7" x14ac:dyDescent="0.25">
      <c r="B792" s="84"/>
      <c r="C792" s="96"/>
      <c r="D792" s="96"/>
      <c r="E792" s="96"/>
      <c r="F792" s="96"/>
      <c r="G792" s="96"/>
    </row>
    <row r="793" spans="2:7" x14ac:dyDescent="0.25">
      <c r="B793" s="84"/>
      <c r="C793" s="96"/>
      <c r="D793" s="96"/>
      <c r="E793" s="96"/>
      <c r="F793" s="96"/>
      <c r="G793" s="9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63"/>
  <sheetViews>
    <sheetView topLeftCell="A13" workbookViewId="0">
      <selection activeCell="B31" sqref="B31"/>
    </sheetView>
  </sheetViews>
  <sheetFormatPr defaultRowHeight="15" x14ac:dyDescent="0.25"/>
  <cols>
    <col min="1" max="1" width="5" bestFit="1" customWidth="1"/>
    <col min="2" max="2" width="11.5703125" bestFit="1" customWidth="1"/>
    <col min="3" max="3" width="10.5703125" bestFit="1" customWidth="1"/>
    <col min="4" max="5" width="11.5703125" bestFit="1" customWidth="1"/>
    <col min="6" max="6" width="1.85546875" customWidth="1"/>
    <col min="7" max="7" width="5" bestFit="1" customWidth="1"/>
    <col min="8" max="8" width="11.5703125" bestFit="1" customWidth="1"/>
    <col min="9" max="9" width="14.42578125" bestFit="1" customWidth="1"/>
    <col min="10" max="10" width="11.5703125" bestFit="1" customWidth="1"/>
    <col min="11" max="11" width="12.7109375" bestFit="1" customWidth="1"/>
    <col min="12" max="12" width="1.28515625" customWidth="1"/>
    <col min="13" max="13" width="5" bestFit="1" customWidth="1"/>
    <col min="14" max="14" width="11.5703125" bestFit="1" customWidth="1"/>
    <col min="15" max="15" width="10.5703125" bestFit="1" customWidth="1"/>
    <col min="16" max="17" width="11.5703125" bestFit="1" customWidth="1"/>
    <col min="18" max="18" width="1.7109375" customWidth="1"/>
    <col min="19" max="19" width="5" bestFit="1" customWidth="1"/>
    <col min="20" max="20" width="11.5703125" bestFit="1" customWidth="1"/>
    <col min="21" max="21" width="10.5703125" bestFit="1" customWidth="1"/>
    <col min="22" max="23" width="11.5703125" bestFit="1" customWidth="1"/>
    <col min="24" max="24" width="0.7109375" customWidth="1"/>
    <col min="25" max="25" width="5" bestFit="1" customWidth="1"/>
    <col min="26" max="26" width="9.7109375" bestFit="1" customWidth="1"/>
    <col min="27" max="27" width="14.42578125" bestFit="1" customWidth="1"/>
    <col min="28" max="28" width="10.5703125" bestFit="1" customWidth="1"/>
    <col min="29" max="29" width="12.7109375" bestFit="1" customWidth="1"/>
  </cols>
  <sheetData>
    <row r="1" spans="7:11" ht="15.75" thickBot="1" x14ac:dyDescent="0.3"/>
    <row r="2" spans="7:11" ht="15.75" thickBot="1" x14ac:dyDescent="0.3">
      <c r="G2" s="321" t="s">
        <v>185</v>
      </c>
      <c r="H2" s="322"/>
      <c r="I2" s="322"/>
      <c r="J2" s="322"/>
      <c r="K2" s="323"/>
    </row>
    <row r="3" spans="7:11" x14ac:dyDescent="0.25">
      <c r="G3" s="209"/>
      <c r="H3" s="210"/>
      <c r="I3" s="210" t="s">
        <v>148</v>
      </c>
      <c r="J3" s="210" t="s">
        <v>141</v>
      </c>
      <c r="K3" s="211" t="s">
        <v>28</v>
      </c>
    </row>
    <row r="4" spans="7:11" x14ac:dyDescent="0.25">
      <c r="G4" s="209">
        <f>+A31</f>
        <v>2011</v>
      </c>
      <c r="H4" s="210" t="s">
        <v>140</v>
      </c>
      <c r="I4" s="212">
        <f ca="1">+SUMIF($A$31:$E$60,G4,$E$31:$E$60)</f>
        <v>434033.33333333331</v>
      </c>
      <c r="J4" s="212">
        <f ca="1">+SUMIF($A$31:$E$60,G4,$C$31:$C$60)</f>
        <v>14966.666666666666</v>
      </c>
      <c r="K4" s="213">
        <f ca="1">+SUMIF($A$31:$E$60,G4,$D$31:$D$60)</f>
        <v>14966.666666666666</v>
      </c>
    </row>
    <row r="5" spans="7:11" x14ac:dyDescent="0.25">
      <c r="G5" s="209">
        <f>+G4</f>
        <v>2011</v>
      </c>
      <c r="H5" s="210" t="s">
        <v>145</v>
      </c>
      <c r="I5" s="212">
        <f ca="1">+SUMIF($G$32:$K$61,G5,$K$32:$K$61)</f>
        <v>0</v>
      </c>
      <c r="J5" s="212">
        <f ca="1">+SUMIF($G$32:$K$61,G5,$I$32:$I$61)</f>
        <v>0</v>
      </c>
      <c r="K5" s="213">
        <f ca="1">+SUMIF($G$32:$K$61,G5,$J$32:$J$61)</f>
        <v>0</v>
      </c>
    </row>
    <row r="6" spans="7:11" x14ac:dyDescent="0.25">
      <c r="G6" s="209">
        <f>+G5</f>
        <v>2011</v>
      </c>
      <c r="H6" s="210" t="s">
        <v>146</v>
      </c>
      <c r="I6" s="212">
        <f ca="1">+SUMIF($M$33:$Q$62,G6,$Q$33:$Q$62)</f>
        <v>0</v>
      </c>
      <c r="J6" s="212">
        <f ca="1">+SUMIF($M$33:$Q$62,G6,$O$33:$O$62)</f>
        <v>0</v>
      </c>
      <c r="K6" s="213">
        <f ca="1">+SUMIF($M$33:$Q$62,G6,$P$33:$P$62)</f>
        <v>0</v>
      </c>
    </row>
    <row r="7" spans="7:11" x14ac:dyDescent="0.25">
      <c r="G7" s="209">
        <f>+G6</f>
        <v>2011</v>
      </c>
      <c r="H7" s="210" t="s">
        <v>147</v>
      </c>
      <c r="I7" s="212">
        <f ca="1">+SUMIF($S$34:$W$63,G7,$W$34:$W$63)</f>
        <v>0</v>
      </c>
      <c r="J7" s="212">
        <f ca="1">+SUMIF($S$34:$W$63,G7,$U$34:$U$63)</f>
        <v>0</v>
      </c>
      <c r="K7" s="213">
        <f ca="1">+SUMIF($S$34:$W$63,G7,$V$34:$V$63)</f>
        <v>0</v>
      </c>
    </row>
    <row r="8" spans="7:11" x14ac:dyDescent="0.25">
      <c r="G8" s="209"/>
      <c r="H8" s="210"/>
      <c r="I8" s="214">
        <f ca="1">+SUM(I4:I7)</f>
        <v>434033.33333333331</v>
      </c>
      <c r="J8" s="214">
        <f t="shared" ref="J8" ca="1" si="0">+SUM(J4:J7)</f>
        <v>14966.666666666666</v>
      </c>
      <c r="K8" s="215">
        <f t="shared" ref="K8" ca="1" si="1">+SUM(K4:K7)</f>
        <v>14966.666666666666</v>
      </c>
    </row>
    <row r="9" spans="7:11" x14ac:dyDescent="0.25">
      <c r="G9" s="209"/>
      <c r="H9" s="210"/>
      <c r="I9" s="210" t="s">
        <v>148</v>
      </c>
      <c r="J9" s="210" t="s">
        <v>141</v>
      </c>
      <c r="K9" s="211" t="s">
        <v>28</v>
      </c>
    </row>
    <row r="10" spans="7:11" x14ac:dyDescent="0.25">
      <c r="G10" s="209">
        <v>2012</v>
      </c>
      <c r="H10" s="210" t="s">
        <v>140</v>
      </c>
      <c r="I10" s="212">
        <f ca="1">+SUMIF($A$31:$E$60,G10,$E$31:$E$60)</f>
        <v>419066.66666666669</v>
      </c>
      <c r="J10" s="212">
        <f ca="1">+SUMIF($A$31:$E$60,G10,$C$31:$C$60)</f>
        <v>14966.666666666666</v>
      </c>
      <c r="K10" s="213">
        <f ca="1">+SUMIF($A$31:$E$60,G10,$D$31:$D$60)</f>
        <v>29933.333333333332</v>
      </c>
    </row>
    <row r="11" spans="7:11" x14ac:dyDescent="0.25">
      <c r="G11" s="209">
        <f>+G10</f>
        <v>2012</v>
      </c>
      <c r="H11" s="210" t="s">
        <v>145</v>
      </c>
      <c r="I11" s="212">
        <f ca="1">+SUMIF($G$32:$K$61,G11,$K$32:$K$61)</f>
        <v>434033.33333333331</v>
      </c>
      <c r="J11" s="212">
        <f ca="1">+SUMIF($G$32:$K$61,G11,$I$32:$I$61)</f>
        <v>14966.666666666666</v>
      </c>
      <c r="K11" s="213">
        <f ca="1">+SUMIF($G$32:$K$61,G11,$J$32:$J$61)</f>
        <v>14966.666666666666</v>
      </c>
    </row>
    <row r="12" spans="7:11" x14ac:dyDescent="0.25">
      <c r="G12" s="209">
        <f>+G11</f>
        <v>2012</v>
      </c>
      <c r="H12" s="210" t="s">
        <v>146</v>
      </c>
      <c r="I12" s="212">
        <f ca="1">+SUMIF($M$33:$Q$62,G12,$Q$33:$Q$62)</f>
        <v>0</v>
      </c>
      <c r="J12" s="212">
        <f ca="1">+SUMIF($M$33:$Q$62,G12,$O$33:$O$62)</f>
        <v>0</v>
      </c>
      <c r="K12" s="213">
        <f ca="1">+SUMIF($M$33:$Q$62,G12,$P$33:$P$62)</f>
        <v>0</v>
      </c>
    </row>
    <row r="13" spans="7:11" x14ac:dyDescent="0.25">
      <c r="G13" s="209">
        <f>+G12</f>
        <v>2012</v>
      </c>
      <c r="H13" s="210" t="s">
        <v>147</v>
      </c>
      <c r="I13" s="212">
        <f ca="1">+SUMIF($S$34:$W$63,G13,$W$34:$W$63)</f>
        <v>0</v>
      </c>
      <c r="J13" s="212">
        <f ca="1">+SUMIF($S$34:$W$63,G13,$U$34:$U$63)</f>
        <v>0</v>
      </c>
      <c r="K13" s="213">
        <f ca="1">+SUMIF($S$34:$W$63,G13,$V$34:$V$63)</f>
        <v>0</v>
      </c>
    </row>
    <row r="14" spans="7:11" x14ac:dyDescent="0.25">
      <c r="G14" s="209"/>
      <c r="H14" s="210"/>
      <c r="I14" s="214">
        <f ca="1">+SUM(I10:I13)</f>
        <v>853100</v>
      </c>
      <c r="J14" s="214">
        <f t="shared" ref="J14" ca="1" si="2">+SUM(J10:J13)</f>
        <v>29933.333333333332</v>
      </c>
      <c r="K14" s="215">
        <f t="shared" ref="K14" ca="1" si="3">+SUM(K10:K13)</f>
        <v>44900</v>
      </c>
    </row>
    <row r="15" spans="7:11" x14ac:dyDescent="0.25">
      <c r="G15" s="209"/>
      <c r="H15" s="210"/>
      <c r="I15" s="210" t="s">
        <v>148</v>
      </c>
      <c r="J15" s="210" t="s">
        <v>141</v>
      </c>
      <c r="K15" s="211" t="s">
        <v>28</v>
      </c>
    </row>
    <row r="16" spans="7:11" x14ac:dyDescent="0.25">
      <c r="G16" s="209">
        <f>+G10+1</f>
        <v>2013</v>
      </c>
      <c r="H16" s="210" t="s">
        <v>140</v>
      </c>
      <c r="I16" s="212">
        <f ca="1">+SUMIF($A$31:$E$60,G16,$E$31:$E$60)</f>
        <v>404100</v>
      </c>
      <c r="J16" s="212">
        <f ca="1">+SUMIF($A$31:$E$60,G16,$C$31:$C$60)</f>
        <v>14966.666666666666</v>
      </c>
      <c r="K16" s="213">
        <f ca="1">+SUMIF($A$31:$E$60,G16,$D$31:$D$60)</f>
        <v>44900</v>
      </c>
    </row>
    <row r="17" spans="1:23" x14ac:dyDescent="0.25">
      <c r="G17" s="209">
        <f>+G16</f>
        <v>2013</v>
      </c>
      <c r="H17" s="210" t="s">
        <v>145</v>
      </c>
      <c r="I17" s="212">
        <f ca="1">+SUMIF($G$32:$K$61,G17,$K$32:$K$61)</f>
        <v>419066.66666666669</v>
      </c>
      <c r="J17" s="212">
        <f ca="1">+SUMIF($G$32:$K$61,G17,$I$32:$I$61)</f>
        <v>14966.666666666666</v>
      </c>
      <c r="K17" s="213">
        <f ca="1">+SUMIF($G$32:$K$61,G17,$J$32:$J$61)</f>
        <v>29933.333333333332</v>
      </c>
    </row>
    <row r="18" spans="1:23" x14ac:dyDescent="0.25">
      <c r="G18" s="209">
        <f>+G17</f>
        <v>2013</v>
      </c>
      <c r="H18" s="210" t="s">
        <v>146</v>
      </c>
      <c r="I18" s="212">
        <f ca="1">+SUMIF($M$33:$Q$62,G18,$Q$33:$Q$62)</f>
        <v>434033.33333333331</v>
      </c>
      <c r="J18" s="212">
        <f ca="1">+SUMIF($M$33:$Q$62,G18,$O$33:$O$62)</f>
        <v>14966.666666666666</v>
      </c>
      <c r="K18" s="213">
        <f ca="1">+SUMIF($M$33:$Q$62,G18,$P$33:$P$62)</f>
        <v>14966.666666666666</v>
      </c>
    </row>
    <row r="19" spans="1:23" x14ac:dyDescent="0.25">
      <c r="G19" s="209">
        <f>+G18</f>
        <v>2013</v>
      </c>
      <c r="H19" s="210" t="s">
        <v>147</v>
      </c>
      <c r="I19" s="212">
        <f ca="1">+SUMIF($S$34:$W$63,G19,$W$34:$W$63)</f>
        <v>0</v>
      </c>
      <c r="J19" s="212">
        <f ca="1">+SUMIF($S$34:$W$63,G19,$U$34:$U$63)</f>
        <v>0</v>
      </c>
      <c r="K19" s="213">
        <f ca="1">+SUMIF($S$34:$W$63,G19,$V$34:$V$63)</f>
        <v>0</v>
      </c>
    </row>
    <row r="20" spans="1:23" x14ac:dyDescent="0.25">
      <c r="G20" s="209"/>
      <c r="H20" s="210"/>
      <c r="I20" s="214">
        <f ca="1">+SUM(I16:I19)</f>
        <v>1257200</v>
      </c>
      <c r="J20" s="214">
        <f t="shared" ref="J20:K20" ca="1" si="4">+SUM(J16:J19)</f>
        <v>44900</v>
      </c>
      <c r="K20" s="215">
        <f t="shared" ca="1" si="4"/>
        <v>89800</v>
      </c>
    </row>
    <row r="21" spans="1:23" x14ac:dyDescent="0.25">
      <c r="G21" s="209"/>
      <c r="H21" s="210"/>
      <c r="I21" s="210" t="s">
        <v>148</v>
      </c>
      <c r="J21" s="210" t="s">
        <v>141</v>
      </c>
      <c r="K21" s="211" t="s">
        <v>28</v>
      </c>
    </row>
    <row r="22" spans="1:23" x14ac:dyDescent="0.25">
      <c r="G22" s="209">
        <f>+G19+1</f>
        <v>2014</v>
      </c>
      <c r="H22" s="210" t="s">
        <v>140</v>
      </c>
      <c r="I22" s="212">
        <f ca="1">+SUMIF($A$31:$E$60,G22,$E$31:$E$60)</f>
        <v>389133.33333333331</v>
      </c>
      <c r="J22" s="212">
        <f ca="1">+SUMIF($A$31:$E$60,G22,$C$31:$C$60)</f>
        <v>14966.666666666666</v>
      </c>
      <c r="K22" s="213">
        <f ca="1">+SUMIF($A$31:$E$60,G22,$D$31:$D$60)</f>
        <v>59866.666666666664</v>
      </c>
    </row>
    <row r="23" spans="1:23" x14ac:dyDescent="0.25">
      <c r="G23" s="209">
        <f>+G22</f>
        <v>2014</v>
      </c>
      <c r="H23" s="210" t="s">
        <v>145</v>
      </c>
      <c r="I23" s="212">
        <f ca="1">+SUMIF($G$32:$K$61,G23,$K$32:$K$61)</f>
        <v>404100</v>
      </c>
      <c r="J23" s="212">
        <f ca="1">+SUMIF($G$32:$K$61,G23,$I$32:$I$61)</f>
        <v>14966.666666666666</v>
      </c>
      <c r="K23" s="213">
        <f ca="1">+SUMIF($G$32:$K$61,G23,$J$32:$J$61)</f>
        <v>44900</v>
      </c>
    </row>
    <row r="24" spans="1:23" x14ac:dyDescent="0.25">
      <c r="G24" s="209">
        <f>+G23</f>
        <v>2014</v>
      </c>
      <c r="H24" s="210" t="s">
        <v>146</v>
      </c>
      <c r="I24" s="212">
        <f ca="1">+SUMIF($M$33:$Q$62,G24,$Q$33:$Q$62)</f>
        <v>419066.66666666669</v>
      </c>
      <c r="J24" s="212">
        <f ca="1">+SUMIF($M$33:$Q$62,G24,$O$33:$O$62)</f>
        <v>14966.666666666666</v>
      </c>
      <c r="K24" s="213">
        <f ca="1">+SUMIF($M$33:$Q$62,G24,$P$33:$P$62)</f>
        <v>29933.333333333332</v>
      </c>
    </row>
    <row r="25" spans="1:23" x14ac:dyDescent="0.25">
      <c r="G25" s="209">
        <f>+G24</f>
        <v>2014</v>
      </c>
      <c r="H25" s="210" t="s">
        <v>147</v>
      </c>
      <c r="I25" s="212">
        <f ca="1">+SUMIF($S$34:$W$63,G25,$W$34:$W$63)</f>
        <v>434033.33333333331</v>
      </c>
      <c r="J25" s="212">
        <f ca="1">+SUMIF($S$34:$W$63,G25,$U$34:$U$63)</f>
        <v>14966.666666666666</v>
      </c>
      <c r="K25" s="213">
        <f ca="1">+SUMIF($S$34:$W$63,G25,$V$34:$V$63)</f>
        <v>14966.666666666666</v>
      </c>
    </row>
    <row r="26" spans="1:23" ht="15.75" thickBot="1" x14ac:dyDescent="0.3">
      <c r="G26" s="216"/>
      <c r="H26" s="217"/>
      <c r="I26" s="218">
        <f ca="1">+SUM(I22:I25)</f>
        <v>1646333.3333333333</v>
      </c>
      <c r="J26" s="218">
        <f t="shared" ref="J26:K26" ca="1" si="5">+SUM(J22:J25)</f>
        <v>59866.666666666664</v>
      </c>
      <c r="K26" s="219">
        <f t="shared" ca="1" si="5"/>
        <v>149666.66666666666</v>
      </c>
    </row>
    <row r="29" spans="1:23" x14ac:dyDescent="0.25">
      <c r="A29" s="320" t="s">
        <v>140</v>
      </c>
      <c r="B29" s="320"/>
      <c r="C29" s="320"/>
      <c r="D29" s="320"/>
      <c r="E29" s="320"/>
      <c r="G29" s="320" t="s">
        <v>145</v>
      </c>
      <c r="H29" s="320"/>
      <c r="I29" s="320"/>
      <c r="J29" s="320"/>
      <c r="K29" s="320"/>
      <c r="M29" s="320" t="s">
        <v>146</v>
      </c>
      <c r="N29" s="320"/>
      <c r="O29" s="320"/>
      <c r="P29" s="320"/>
      <c r="Q29" s="320"/>
      <c r="S29" s="320" t="s">
        <v>146</v>
      </c>
      <c r="T29" s="320"/>
      <c r="U29" s="320"/>
      <c r="V29" s="320"/>
      <c r="W29" s="320"/>
    </row>
    <row r="30" spans="1:23" x14ac:dyDescent="0.25">
      <c r="B30" t="s">
        <v>143</v>
      </c>
      <c r="C30" t="s">
        <v>141</v>
      </c>
      <c r="D30" t="s">
        <v>142</v>
      </c>
      <c r="E30" t="s">
        <v>144</v>
      </c>
      <c r="H30" t="s">
        <v>143</v>
      </c>
      <c r="I30" t="s">
        <v>141</v>
      </c>
      <c r="J30" t="s">
        <v>142</v>
      </c>
      <c r="K30" t="s">
        <v>144</v>
      </c>
      <c r="N30" t="s">
        <v>143</v>
      </c>
      <c r="O30" t="s">
        <v>141</v>
      </c>
      <c r="P30" t="s">
        <v>142</v>
      </c>
      <c r="Q30" t="s">
        <v>144</v>
      </c>
      <c r="T30" t="s">
        <v>143</v>
      </c>
      <c r="U30" t="s">
        <v>141</v>
      </c>
      <c r="V30" t="s">
        <v>142</v>
      </c>
      <c r="W30" t="s">
        <v>144</v>
      </c>
    </row>
    <row r="31" spans="1:23" x14ac:dyDescent="0.25">
      <c r="A31">
        <v>2011</v>
      </c>
      <c r="B31" s="85">
        <f>+'C&amp;R-RE Group'!B28</f>
        <v>449000</v>
      </c>
      <c r="C31" s="85">
        <f>+'C&amp;R-RE Group'!E28</f>
        <v>14966.666666666666</v>
      </c>
      <c r="D31" s="85">
        <f>+C31</f>
        <v>14966.666666666666</v>
      </c>
      <c r="E31" s="85">
        <f>+$B$31-D31</f>
        <v>434033.33333333331</v>
      </c>
    </row>
    <row r="32" spans="1:23" x14ac:dyDescent="0.25">
      <c r="A32">
        <v>2012</v>
      </c>
      <c r="B32" s="85">
        <f>+E31</f>
        <v>434033.33333333331</v>
      </c>
      <c r="C32" s="85">
        <f>+C31</f>
        <v>14966.666666666666</v>
      </c>
      <c r="D32" s="85">
        <f>+D31+C32</f>
        <v>29933.333333333332</v>
      </c>
      <c r="E32" s="85">
        <f>+$B$31-D32</f>
        <v>419066.66666666669</v>
      </c>
      <c r="G32">
        <f>+A32</f>
        <v>2012</v>
      </c>
      <c r="H32" s="85">
        <f>+B31</f>
        <v>449000</v>
      </c>
      <c r="I32" s="85">
        <f>+C31</f>
        <v>14966.666666666666</v>
      </c>
      <c r="J32" s="85">
        <f>+I32</f>
        <v>14966.666666666666</v>
      </c>
      <c r="K32" s="85">
        <f>+$B$31-J32</f>
        <v>434033.33333333331</v>
      </c>
    </row>
    <row r="33" spans="1:23" x14ac:dyDescent="0.25">
      <c r="A33">
        <v>2013</v>
      </c>
      <c r="B33" s="85">
        <f t="shared" ref="B33" si="6">+E32</f>
        <v>419066.66666666669</v>
      </c>
      <c r="C33" s="85">
        <f t="shared" ref="C33" si="7">+C32</f>
        <v>14966.666666666666</v>
      </c>
      <c r="D33" s="85">
        <f>+D32+C33</f>
        <v>44900</v>
      </c>
      <c r="E33" s="85">
        <f>+$B$31-D33</f>
        <v>404100</v>
      </c>
      <c r="G33">
        <f>+G32+1</f>
        <v>2013</v>
      </c>
      <c r="H33" s="85">
        <f>+K32</f>
        <v>434033.33333333331</v>
      </c>
      <c r="I33" s="85">
        <f>+I32</f>
        <v>14966.666666666666</v>
      </c>
      <c r="J33" s="85">
        <f>+J32+I33</f>
        <v>29933.333333333332</v>
      </c>
      <c r="K33" s="85">
        <f>+$B$31-J33</f>
        <v>419066.66666666669</v>
      </c>
      <c r="M33">
        <f>+G33</f>
        <v>2013</v>
      </c>
      <c r="N33" s="85">
        <f>+H32</f>
        <v>449000</v>
      </c>
      <c r="O33" s="85">
        <f>+I32</f>
        <v>14966.666666666666</v>
      </c>
      <c r="P33" s="85">
        <f>+O33</f>
        <v>14966.666666666666</v>
      </c>
      <c r="Q33" s="85">
        <f>+$B$31-P33</f>
        <v>434033.33333333331</v>
      </c>
    </row>
    <row r="34" spans="1:23" x14ac:dyDescent="0.25">
      <c r="A34">
        <v>2014</v>
      </c>
      <c r="B34" s="85">
        <f t="shared" ref="B34:B50" si="8">+E33</f>
        <v>404100</v>
      </c>
      <c r="C34" s="85">
        <f t="shared" ref="C34:C50" si="9">+C33</f>
        <v>14966.666666666666</v>
      </c>
      <c r="D34" s="85">
        <f t="shared" ref="D34:D49" si="10">+D33+C34</f>
        <v>59866.666666666664</v>
      </c>
      <c r="E34" s="85">
        <f t="shared" ref="E34:E60" si="11">+$B$31-D34</f>
        <v>389133.33333333331</v>
      </c>
      <c r="G34">
        <f t="shared" ref="G34:G61" si="12">+G33+1</f>
        <v>2014</v>
      </c>
      <c r="H34" s="85">
        <f t="shared" ref="H34:H61" si="13">+K33</f>
        <v>419066.66666666669</v>
      </c>
      <c r="I34" s="85">
        <f t="shared" ref="I34:I61" si="14">+I33</f>
        <v>14966.666666666666</v>
      </c>
      <c r="J34" s="85">
        <f>+J33+I34</f>
        <v>44900</v>
      </c>
      <c r="K34" s="85">
        <f>+$B$31-J34</f>
        <v>404100</v>
      </c>
      <c r="M34">
        <f>+M33+1</f>
        <v>2014</v>
      </c>
      <c r="N34" s="85">
        <f>+Q33</f>
        <v>434033.33333333331</v>
      </c>
      <c r="O34" s="85">
        <f>+O33</f>
        <v>14966.666666666666</v>
      </c>
      <c r="P34" s="85">
        <f>+P33+O34</f>
        <v>29933.333333333332</v>
      </c>
      <c r="Q34" s="85">
        <f>+$B$31-P34</f>
        <v>419066.66666666669</v>
      </c>
      <c r="S34">
        <f>+M34</f>
        <v>2014</v>
      </c>
      <c r="T34" s="85">
        <f>+N33</f>
        <v>449000</v>
      </c>
      <c r="U34" s="85">
        <f>+O33</f>
        <v>14966.666666666666</v>
      </c>
      <c r="V34" s="85">
        <f>+U34</f>
        <v>14966.666666666666</v>
      </c>
      <c r="W34" s="85">
        <f>+$B$31-V34</f>
        <v>434033.33333333331</v>
      </c>
    </row>
    <row r="35" spans="1:23" x14ac:dyDescent="0.25">
      <c r="A35">
        <v>2015</v>
      </c>
      <c r="B35" s="85">
        <f t="shared" si="8"/>
        <v>389133.33333333331</v>
      </c>
      <c r="C35" s="85">
        <f t="shared" si="9"/>
        <v>14966.666666666666</v>
      </c>
      <c r="D35" s="85">
        <f t="shared" si="10"/>
        <v>74833.333333333328</v>
      </c>
      <c r="E35" s="85">
        <f t="shared" si="11"/>
        <v>374166.66666666669</v>
      </c>
      <c r="G35">
        <f t="shared" si="12"/>
        <v>2015</v>
      </c>
      <c r="H35" s="85">
        <f t="shared" si="13"/>
        <v>404100</v>
      </c>
      <c r="I35" s="85">
        <f t="shared" si="14"/>
        <v>14966.666666666666</v>
      </c>
      <c r="J35" s="85">
        <f t="shared" ref="J35:J50" si="15">+J34+I35</f>
        <v>59866.666666666664</v>
      </c>
      <c r="K35" s="85">
        <f t="shared" ref="K35:K61" si="16">+$B$31-J35</f>
        <v>389133.33333333331</v>
      </c>
      <c r="M35">
        <f t="shared" ref="M35:M62" si="17">+M34+1</f>
        <v>2015</v>
      </c>
      <c r="N35" s="85">
        <f t="shared" ref="N35:N62" si="18">+Q34</f>
        <v>419066.66666666669</v>
      </c>
      <c r="O35" s="85">
        <f t="shared" ref="O35:O62" si="19">+O34</f>
        <v>14966.666666666666</v>
      </c>
      <c r="P35" s="85">
        <f>+P34+O35</f>
        <v>44900</v>
      </c>
      <c r="Q35" s="85">
        <f>+$B$31-P35</f>
        <v>404100</v>
      </c>
      <c r="S35">
        <f>+S34+1</f>
        <v>2015</v>
      </c>
      <c r="T35" s="85">
        <f>+W34</f>
        <v>434033.33333333331</v>
      </c>
      <c r="U35" s="85">
        <f>+U34</f>
        <v>14966.666666666666</v>
      </c>
      <c r="V35" s="85">
        <f>+V34+U35</f>
        <v>29933.333333333332</v>
      </c>
      <c r="W35" s="85">
        <f>+$B$31-V35</f>
        <v>419066.66666666669</v>
      </c>
    </row>
    <row r="36" spans="1:23" x14ac:dyDescent="0.25">
      <c r="A36">
        <v>2016</v>
      </c>
      <c r="B36" s="85">
        <f t="shared" si="8"/>
        <v>374166.66666666669</v>
      </c>
      <c r="C36" s="85">
        <f t="shared" si="9"/>
        <v>14966.666666666666</v>
      </c>
      <c r="D36" s="85">
        <f t="shared" si="10"/>
        <v>89800</v>
      </c>
      <c r="E36" s="85">
        <f t="shared" si="11"/>
        <v>359200</v>
      </c>
      <c r="G36">
        <f t="shared" si="12"/>
        <v>2016</v>
      </c>
      <c r="H36" s="85">
        <f t="shared" si="13"/>
        <v>389133.33333333331</v>
      </c>
      <c r="I36" s="85">
        <f t="shared" si="14"/>
        <v>14966.666666666666</v>
      </c>
      <c r="J36" s="85">
        <f t="shared" si="15"/>
        <v>74833.333333333328</v>
      </c>
      <c r="K36" s="85">
        <f t="shared" si="16"/>
        <v>374166.66666666669</v>
      </c>
      <c r="M36">
        <f t="shared" si="17"/>
        <v>2016</v>
      </c>
      <c r="N36" s="85">
        <f t="shared" si="18"/>
        <v>404100</v>
      </c>
      <c r="O36" s="85">
        <f t="shared" si="19"/>
        <v>14966.666666666666</v>
      </c>
      <c r="P36" s="85">
        <f t="shared" ref="P36:P51" si="20">+P35+O36</f>
        <v>59866.666666666664</v>
      </c>
      <c r="Q36" s="85">
        <f t="shared" ref="Q36:Q62" si="21">+$B$31-P36</f>
        <v>389133.33333333331</v>
      </c>
      <c r="S36">
        <f t="shared" ref="S36:S63" si="22">+S35+1</f>
        <v>2016</v>
      </c>
      <c r="T36" s="85">
        <f t="shared" ref="T36:T63" si="23">+W35</f>
        <v>419066.66666666669</v>
      </c>
      <c r="U36" s="85">
        <f t="shared" ref="U36:U63" si="24">+U35</f>
        <v>14966.666666666666</v>
      </c>
      <c r="V36" s="85">
        <f>+V35+U36</f>
        <v>44900</v>
      </c>
      <c r="W36" s="85">
        <f>+$B$31-V36</f>
        <v>404100</v>
      </c>
    </row>
    <row r="37" spans="1:23" x14ac:dyDescent="0.25">
      <c r="A37">
        <v>2017</v>
      </c>
      <c r="B37" s="85">
        <f t="shared" si="8"/>
        <v>359200</v>
      </c>
      <c r="C37" s="85">
        <f t="shared" si="9"/>
        <v>14966.666666666666</v>
      </c>
      <c r="D37" s="85">
        <f t="shared" si="10"/>
        <v>104766.66666666667</v>
      </c>
      <c r="E37" s="85">
        <f t="shared" si="11"/>
        <v>344233.33333333331</v>
      </c>
      <c r="G37">
        <f t="shared" si="12"/>
        <v>2017</v>
      </c>
      <c r="H37" s="85">
        <f t="shared" si="13"/>
        <v>374166.66666666669</v>
      </c>
      <c r="I37" s="85">
        <f t="shared" si="14"/>
        <v>14966.666666666666</v>
      </c>
      <c r="J37" s="85">
        <f t="shared" si="15"/>
        <v>89800</v>
      </c>
      <c r="K37" s="85">
        <f t="shared" si="16"/>
        <v>359200</v>
      </c>
      <c r="M37">
        <f t="shared" si="17"/>
        <v>2017</v>
      </c>
      <c r="N37" s="85">
        <f t="shared" si="18"/>
        <v>389133.33333333331</v>
      </c>
      <c r="O37" s="85">
        <f t="shared" si="19"/>
        <v>14966.666666666666</v>
      </c>
      <c r="P37" s="85">
        <f t="shared" si="20"/>
        <v>74833.333333333328</v>
      </c>
      <c r="Q37" s="85">
        <f t="shared" si="21"/>
        <v>374166.66666666669</v>
      </c>
      <c r="S37">
        <f t="shared" si="22"/>
        <v>2017</v>
      </c>
      <c r="T37" s="85">
        <f t="shared" si="23"/>
        <v>404100</v>
      </c>
      <c r="U37" s="85">
        <f t="shared" si="24"/>
        <v>14966.666666666666</v>
      </c>
      <c r="V37" s="85">
        <f t="shared" ref="V37:V52" si="25">+V36+U37</f>
        <v>59866.666666666664</v>
      </c>
      <c r="W37" s="85">
        <f t="shared" ref="W37:W63" si="26">+$B$31-V37</f>
        <v>389133.33333333331</v>
      </c>
    </row>
    <row r="38" spans="1:23" x14ac:dyDescent="0.25">
      <c r="A38">
        <v>2018</v>
      </c>
      <c r="B38" s="85">
        <f t="shared" si="8"/>
        <v>344233.33333333331</v>
      </c>
      <c r="C38" s="85">
        <f t="shared" si="9"/>
        <v>14966.666666666666</v>
      </c>
      <c r="D38" s="85">
        <f t="shared" si="10"/>
        <v>119733.33333333334</v>
      </c>
      <c r="E38" s="85">
        <f t="shared" si="11"/>
        <v>329266.66666666663</v>
      </c>
      <c r="G38">
        <f t="shared" si="12"/>
        <v>2018</v>
      </c>
      <c r="H38" s="85">
        <f t="shared" si="13"/>
        <v>359200</v>
      </c>
      <c r="I38" s="85">
        <f t="shared" si="14"/>
        <v>14966.666666666666</v>
      </c>
      <c r="J38" s="85">
        <f t="shared" si="15"/>
        <v>104766.66666666667</v>
      </c>
      <c r="K38" s="85">
        <f t="shared" si="16"/>
        <v>344233.33333333331</v>
      </c>
      <c r="M38">
        <f t="shared" si="17"/>
        <v>2018</v>
      </c>
      <c r="N38" s="85">
        <f t="shared" si="18"/>
        <v>374166.66666666669</v>
      </c>
      <c r="O38" s="85">
        <f t="shared" si="19"/>
        <v>14966.666666666666</v>
      </c>
      <c r="P38" s="85">
        <f t="shared" si="20"/>
        <v>89800</v>
      </c>
      <c r="Q38" s="85">
        <f t="shared" si="21"/>
        <v>359200</v>
      </c>
      <c r="S38">
        <f t="shared" si="22"/>
        <v>2018</v>
      </c>
      <c r="T38" s="85">
        <f t="shared" si="23"/>
        <v>389133.33333333331</v>
      </c>
      <c r="U38" s="85">
        <f t="shared" si="24"/>
        <v>14966.666666666666</v>
      </c>
      <c r="V38" s="85">
        <f t="shared" si="25"/>
        <v>74833.333333333328</v>
      </c>
      <c r="W38" s="85">
        <f t="shared" si="26"/>
        <v>374166.66666666669</v>
      </c>
    </row>
    <row r="39" spans="1:23" x14ac:dyDescent="0.25">
      <c r="A39">
        <v>2019</v>
      </c>
      <c r="B39" s="85">
        <f t="shared" si="8"/>
        <v>329266.66666666663</v>
      </c>
      <c r="C39" s="85">
        <f t="shared" si="9"/>
        <v>14966.666666666666</v>
      </c>
      <c r="D39" s="85">
        <f t="shared" si="10"/>
        <v>134700</v>
      </c>
      <c r="E39" s="85">
        <f t="shared" si="11"/>
        <v>314300</v>
      </c>
      <c r="G39">
        <f t="shared" si="12"/>
        <v>2019</v>
      </c>
      <c r="H39" s="85">
        <f t="shared" si="13"/>
        <v>344233.33333333331</v>
      </c>
      <c r="I39" s="85">
        <f t="shared" si="14"/>
        <v>14966.666666666666</v>
      </c>
      <c r="J39" s="85">
        <f t="shared" si="15"/>
        <v>119733.33333333334</v>
      </c>
      <c r="K39" s="85">
        <f t="shared" si="16"/>
        <v>329266.66666666663</v>
      </c>
      <c r="M39">
        <f t="shared" si="17"/>
        <v>2019</v>
      </c>
      <c r="N39" s="85">
        <f t="shared" si="18"/>
        <v>359200</v>
      </c>
      <c r="O39" s="85">
        <f t="shared" si="19"/>
        <v>14966.666666666666</v>
      </c>
      <c r="P39" s="85">
        <f t="shared" si="20"/>
        <v>104766.66666666667</v>
      </c>
      <c r="Q39" s="85">
        <f t="shared" si="21"/>
        <v>344233.33333333331</v>
      </c>
      <c r="S39">
        <f t="shared" si="22"/>
        <v>2019</v>
      </c>
      <c r="T39" s="85">
        <f t="shared" si="23"/>
        <v>374166.66666666669</v>
      </c>
      <c r="U39" s="85">
        <f t="shared" si="24"/>
        <v>14966.666666666666</v>
      </c>
      <c r="V39" s="85">
        <f t="shared" si="25"/>
        <v>89800</v>
      </c>
      <c r="W39" s="85">
        <f t="shared" si="26"/>
        <v>359200</v>
      </c>
    </row>
    <row r="40" spans="1:23" x14ac:dyDescent="0.25">
      <c r="A40">
        <v>2020</v>
      </c>
      <c r="B40" s="85">
        <f t="shared" si="8"/>
        <v>314300</v>
      </c>
      <c r="C40" s="85">
        <f t="shared" si="9"/>
        <v>14966.666666666666</v>
      </c>
      <c r="D40" s="85">
        <f t="shared" si="10"/>
        <v>149666.66666666666</v>
      </c>
      <c r="E40" s="85">
        <f t="shared" si="11"/>
        <v>299333.33333333337</v>
      </c>
      <c r="G40">
        <f t="shared" si="12"/>
        <v>2020</v>
      </c>
      <c r="H40" s="85">
        <f t="shared" si="13"/>
        <v>329266.66666666663</v>
      </c>
      <c r="I40" s="85">
        <f t="shared" si="14"/>
        <v>14966.666666666666</v>
      </c>
      <c r="J40" s="85">
        <f t="shared" si="15"/>
        <v>134700</v>
      </c>
      <c r="K40" s="85">
        <f t="shared" si="16"/>
        <v>314300</v>
      </c>
      <c r="M40">
        <f t="shared" si="17"/>
        <v>2020</v>
      </c>
      <c r="N40" s="85">
        <f t="shared" si="18"/>
        <v>344233.33333333331</v>
      </c>
      <c r="O40" s="85">
        <f t="shared" si="19"/>
        <v>14966.666666666666</v>
      </c>
      <c r="P40" s="85">
        <f t="shared" si="20"/>
        <v>119733.33333333334</v>
      </c>
      <c r="Q40" s="85">
        <f t="shared" si="21"/>
        <v>329266.66666666663</v>
      </c>
      <c r="S40">
        <f t="shared" si="22"/>
        <v>2020</v>
      </c>
      <c r="T40" s="85">
        <f t="shared" si="23"/>
        <v>359200</v>
      </c>
      <c r="U40" s="85">
        <f t="shared" si="24"/>
        <v>14966.666666666666</v>
      </c>
      <c r="V40" s="85">
        <f t="shared" si="25"/>
        <v>104766.66666666667</v>
      </c>
      <c r="W40" s="85">
        <f t="shared" si="26"/>
        <v>344233.33333333331</v>
      </c>
    </row>
    <row r="41" spans="1:23" x14ac:dyDescent="0.25">
      <c r="A41">
        <v>2021</v>
      </c>
      <c r="B41" s="85">
        <f t="shared" si="8"/>
        <v>299333.33333333337</v>
      </c>
      <c r="C41" s="85">
        <f t="shared" si="9"/>
        <v>14966.666666666666</v>
      </c>
      <c r="D41" s="85">
        <f t="shared" si="10"/>
        <v>164633.33333333331</v>
      </c>
      <c r="E41" s="85">
        <f t="shared" si="11"/>
        <v>284366.66666666669</v>
      </c>
      <c r="G41">
        <f t="shared" si="12"/>
        <v>2021</v>
      </c>
      <c r="H41" s="85">
        <f t="shared" si="13"/>
        <v>314300</v>
      </c>
      <c r="I41" s="85">
        <f t="shared" si="14"/>
        <v>14966.666666666666</v>
      </c>
      <c r="J41" s="85">
        <f t="shared" si="15"/>
        <v>149666.66666666666</v>
      </c>
      <c r="K41" s="85">
        <f t="shared" si="16"/>
        <v>299333.33333333337</v>
      </c>
      <c r="M41">
        <f t="shared" si="17"/>
        <v>2021</v>
      </c>
      <c r="N41" s="85">
        <f t="shared" si="18"/>
        <v>329266.66666666663</v>
      </c>
      <c r="O41" s="85">
        <f t="shared" si="19"/>
        <v>14966.666666666666</v>
      </c>
      <c r="P41" s="85">
        <f t="shared" si="20"/>
        <v>134700</v>
      </c>
      <c r="Q41" s="85">
        <f t="shared" si="21"/>
        <v>314300</v>
      </c>
      <c r="S41">
        <f t="shared" si="22"/>
        <v>2021</v>
      </c>
      <c r="T41" s="85">
        <f t="shared" si="23"/>
        <v>344233.33333333331</v>
      </c>
      <c r="U41" s="85">
        <f t="shared" si="24"/>
        <v>14966.666666666666</v>
      </c>
      <c r="V41" s="85">
        <f t="shared" si="25"/>
        <v>119733.33333333334</v>
      </c>
      <c r="W41" s="85">
        <f t="shared" si="26"/>
        <v>329266.66666666663</v>
      </c>
    </row>
    <row r="42" spans="1:23" x14ac:dyDescent="0.25">
      <c r="A42">
        <v>2022</v>
      </c>
      <c r="B42" s="85">
        <f t="shared" si="8"/>
        <v>284366.66666666669</v>
      </c>
      <c r="C42" s="85">
        <f t="shared" si="9"/>
        <v>14966.666666666666</v>
      </c>
      <c r="D42" s="85">
        <f t="shared" si="10"/>
        <v>179599.99999999997</v>
      </c>
      <c r="E42" s="85">
        <f t="shared" si="11"/>
        <v>269400</v>
      </c>
      <c r="G42">
        <f t="shared" si="12"/>
        <v>2022</v>
      </c>
      <c r="H42" s="85">
        <f t="shared" si="13"/>
        <v>299333.33333333337</v>
      </c>
      <c r="I42" s="85">
        <f t="shared" si="14"/>
        <v>14966.666666666666</v>
      </c>
      <c r="J42" s="85">
        <f t="shared" si="15"/>
        <v>164633.33333333331</v>
      </c>
      <c r="K42" s="85">
        <f t="shared" si="16"/>
        <v>284366.66666666669</v>
      </c>
      <c r="M42">
        <f t="shared" si="17"/>
        <v>2022</v>
      </c>
      <c r="N42" s="85">
        <f t="shared" si="18"/>
        <v>314300</v>
      </c>
      <c r="O42" s="85">
        <f t="shared" si="19"/>
        <v>14966.666666666666</v>
      </c>
      <c r="P42" s="85">
        <f t="shared" si="20"/>
        <v>149666.66666666666</v>
      </c>
      <c r="Q42" s="85">
        <f t="shared" si="21"/>
        <v>299333.33333333337</v>
      </c>
      <c r="S42">
        <f t="shared" si="22"/>
        <v>2022</v>
      </c>
      <c r="T42" s="85">
        <f t="shared" si="23"/>
        <v>329266.66666666663</v>
      </c>
      <c r="U42" s="85">
        <f t="shared" si="24"/>
        <v>14966.666666666666</v>
      </c>
      <c r="V42" s="85">
        <f t="shared" si="25"/>
        <v>134700</v>
      </c>
      <c r="W42" s="85">
        <f t="shared" si="26"/>
        <v>314300</v>
      </c>
    </row>
    <row r="43" spans="1:23" x14ac:dyDescent="0.25">
      <c r="A43">
        <v>2023</v>
      </c>
      <c r="B43" s="85">
        <f t="shared" si="8"/>
        <v>269400</v>
      </c>
      <c r="C43" s="85">
        <f t="shared" si="9"/>
        <v>14966.666666666666</v>
      </c>
      <c r="D43" s="85">
        <f t="shared" si="10"/>
        <v>194566.66666666663</v>
      </c>
      <c r="E43" s="85">
        <f t="shared" si="11"/>
        <v>254433.33333333337</v>
      </c>
      <c r="G43">
        <f t="shared" si="12"/>
        <v>2023</v>
      </c>
      <c r="H43" s="85">
        <f t="shared" si="13"/>
        <v>284366.66666666669</v>
      </c>
      <c r="I43" s="85">
        <f t="shared" si="14"/>
        <v>14966.666666666666</v>
      </c>
      <c r="J43" s="85">
        <f t="shared" si="15"/>
        <v>179599.99999999997</v>
      </c>
      <c r="K43" s="85">
        <f t="shared" si="16"/>
        <v>269400</v>
      </c>
      <c r="M43">
        <f t="shared" si="17"/>
        <v>2023</v>
      </c>
      <c r="N43" s="85">
        <f t="shared" si="18"/>
        <v>299333.33333333337</v>
      </c>
      <c r="O43" s="85">
        <f t="shared" si="19"/>
        <v>14966.666666666666</v>
      </c>
      <c r="P43" s="85">
        <f t="shared" si="20"/>
        <v>164633.33333333331</v>
      </c>
      <c r="Q43" s="85">
        <f t="shared" si="21"/>
        <v>284366.66666666669</v>
      </c>
      <c r="S43">
        <f t="shared" si="22"/>
        <v>2023</v>
      </c>
      <c r="T43" s="85">
        <f t="shared" si="23"/>
        <v>314300</v>
      </c>
      <c r="U43" s="85">
        <f t="shared" si="24"/>
        <v>14966.666666666666</v>
      </c>
      <c r="V43" s="85">
        <f t="shared" si="25"/>
        <v>149666.66666666666</v>
      </c>
      <c r="W43" s="85">
        <f t="shared" si="26"/>
        <v>299333.33333333337</v>
      </c>
    </row>
    <row r="44" spans="1:23" x14ac:dyDescent="0.25">
      <c r="A44">
        <v>2024</v>
      </c>
      <c r="B44" s="85">
        <f t="shared" si="8"/>
        <v>254433.33333333337</v>
      </c>
      <c r="C44" s="85">
        <f t="shared" si="9"/>
        <v>14966.666666666666</v>
      </c>
      <c r="D44" s="85">
        <f t="shared" si="10"/>
        <v>209533.33333333328</v>
      </c>
      <c r="E44" s="85">
        <f t="shared" si="11"/>
        <v>239466.66666666672</v>
      </c>
      <c r="G44">
        <f t="shared" si="12"/>
        <v>2024</v>
      </c>
      <c r="H44" s="85">
        <f t="shared" si="13"/>
        <v>269400</v>
      </c>
      <c r="I44" s="85">
        <f t="shared" si="14"/>
        <v>14966.666666666666</v>
      </c>
      <c r="J44" s="85">
        <f t="shared" si="15"/>
        <v>194566.66666666663</v>
      </c>
      <c r="K44" s="85">
        <f t="shared" si="16"/>
        <v>254433.33333333337</v>
      </c>
      <c r="M44">
        <f t="shared" si="17"/>
        <v>2024</v>
      </c>
      <c r="N44" s="85">
        <f t="shared" si="18"/>
        <v>284366.66666666669</v>
      </c>
      <c r="O44" s="85">
        <f t="shared" si="19"/>
        <v>14966.666666666666</v>
      </c>
      <c r="P44" s="85">
        <f t="shared" si="20"/>
        <v>179599.99999999997</v>
      </c>
      <c r="Q44" s="85">
        <f t="shared" si="21"/>
        <v>269400</v>
      </c>
      <c r="S44">
        <f t="shared" si="22"/>
        <v>2024</v>
      </c>
      <c r="T44" s="85">
        <f t="shared" si="23"/>
        <v>299333.33333333337</v>
      </c>
      <c r="U44" s="85">
        <f t="shared" si="24"/>
        <v>14966.666666666666</v>
      </c>
      <c r="V44" s="85">
        <f t="shared" si="25"/>
        <v>164633.33333333331</v>
      </c>
      <c r="W44" s="85">
        <f t="shared" si="26"/>
        <v>284366.66666666669</v>
      </c>
    </row>
    <row r="45" spans="1:23" x14ac:dyDescent="0.25">
      <c r="A45">
        <v>2025</v>
      </c>
      <c r="B45" s="85">
        <f t="shared" si="8"/>
        <v>239466.66666666672</v>
      </c>
      <c r="C45" s="85">
        <f t="shared" si="9"/>
        <v>14966.666666666666</v>
      </c>
      <c r="D45" s="85">
        <f t="shared" si="10"/>
        <v>224499.99999999994</v>
      </c>
      <c r="E45" s="85">
        <f t="shared" si="11"/>
        <v>224500.00000000006</v>
      </c>
      <c r="G45">
        <f t="shared" si="12"/>
        <v>2025</v>
      </c>
      <c r="H45" s="85">
        <f t="shared" si="13"/>
        <v>254433.33333333337</v>
      </c>
      <c r="I45" s="85">
        <f t="shared" si="14"/>
        <v>14966.666666666666</v>
      </c>
      <c r="J45" s="85">
        <f t="shared" si="15"/>
        <v>209533.33333333328</v>
      </c>
      <c r="K45" s="85">
        <f t="shared" si="16"/>
        <v>239466.66666666672</v>
      </c>
      <c r="M45">
        <f t="shared" si="17"/>
        <v>2025</v>
      </c>
      <c r="N45" s="85">
        <f t="shared" si="18"/>
        <v>269400</v>
      </c>
      <c r="O45" s="85">
        <f t="shared" si="19"/>
        <v>14966.666666666666</v>
      </c>
      <c r="P45" s="85">
        <f t="shared" si="20"/>
        <v>194566.66666666663</v>
      </c>
      <c r="Q45" s="85">
        <f t="shared" si="21"/>
        <v>254433.33333333337</v>
      </c>
      <c r="S45">
        <f t="shared" si="22"/>
        <v>2025</v>
      </c>
      <c r="T45" s="85">
        <f t="shared" si="23"/>
        <v>284366.66666666669</v>
      </c>
      <c r="U45" s="85">
        <f t="shared" si="24"/>
        <v>14966.666666666666</v>
      </c>
      <c r="V45" s="85">
        <f t="shared" si="25"/>
        <v>179599.99999999997</v>
      </c>
      <c r="W45" s="85">
        <f t="shared" si="26"/>
        <v>269400</v>
      </c>
    </row>
    <row r="46" spans="1:23" x14ac:dyDescent="0.25">
      <c r="A46">
        <v>2026</v>
      </c>
      <c r="B46" s="85">
        <f t="shared" si="8"/>
        <v>224500.00000000006</v>
      </c>
      <c r="C46" s="85">
        <f t="shared" si="9"/>
        <v>14966.666666666666</v>
      </c>
      <c r="D46" s="85">
        <f t="shared" si="10"/>
        <v>239466.6666666666</v>
      </c>
      <c r="E46" s="85">
        <f t="shared" si="11"/>
        <v>209533.3333333334</v>
      </c>
      <c r="G46">
        <f t="shared" si="12"/>
        <v>2026</v>
      </c>
      <c r="H46" s="85">
        <f t="shared" si="13"/>
        <v>239466.66666666672</v>
      </c>
      <c r="I46" s="85">
        <f t="shared" si="14"/>
        <v>14966.666666666666</v>
      </c>
      <c r="J46" s="85">
        <f t="shared" si="15"/>
        <v>224499.99999999994</v>
      </c>
      <c r="K46" s="85">
        <f t="shared" si="16"/>
        <v>224500.00000000006</v>
      </c>
      <c r="M46">
        <f t="shared" si="17"/>
        <v>2026</v>
      </c>
      <c r="N46" s="85">
        <f t="shared" si="18"/>
        <v>254433.33333333337</v>
      </c>
      <c r="O46" s="85">
        <f t="shared" si="19"/>
        <v>14966.666666666666</v>
      </c>
      <c r="P46" s="85">
        <f t="shared" si="20"/>
        <v>209533.33333333328</v>
      </c>
      <c r="Q46" s="85">
        <f t="shared" si="21"/>
        <v>239466.66666666672</v>
      </c>
      <c r="S46">
        <f t="shared" si="22"/>
        <v>2026</v>
      </c>
      <c r="T46" s="85">
        <f t="shared" si="23"/>
        <v>269400</v>
      </c>
      <c r="U46" s="85">
        <f t="shared" si="24"/>
        <v>14966.666666666666</v>
      </c>
      <c r="V46" s="85">
        <f t="shared" si="25"/>
        <v>194566.66666666663</v>
      </c>
      <c r="W46" s="85">
        <f t="shared" si="26"/>
        <v>254433.33333333337</v>
      </c>
    </row>
    <row r="47" spans="1:23" x14ac:dyDescent="0.25">
      <c r="A47">
        <v>2027</v>
      </c>
      <c r="B47" s="85">
        <f t="shared" si="8"/>
        <v>209533.3333333334</v>
      </c>
      <c r="C47" s="85">
        <f t="shared" si="9"/>
        <v>14966.666666666666</v>
      </c>
      <c r="D47" s="85">
        <f t="shared" si="10"/>
        <v>254433.33333333326</v>
      </c>
      <c r="E47" s="85">
        <f t="shared" si="11"/>
        <v>194566.66666666674</v>
      </c>
      <c r="G47">
        <f t="shared" si="12"/>
        <v>2027</v>
      </c>
      <c r="H47" s="85">
        <f t="shared" si="13"/>
        <v>224500.00000000006</v>
      </c>
      <c r="I47" s="85">
        <f t="shared" si="14"/>
        <v>14966.666666666666</v>
      </c>
      <c r="J47" s="85">
        <f t="shared" si="15"/>
        <v>239466.6666666666</v>
      </c>
      <c r="K47" s="85">
        <f t="shared" si="16"/>
        <v>209533.3333333334</v>
      </c>
      <c r="M47">
        <f t="shared" si="17"/>
        <v>2027</v>
      </c>
      <c r="N47" s="85">
        <f t="shared" si="18"/>
        <v>239466.66666666672</v>
      </c>
      <c r="O47" s="85">
        <f t="shared" si="19"/>
        <v>14966.666666666666</v>
      </c>
      <c r="P47" s="85">
        <f t="shared" si="20"/>
        <v>224499.99999999994</v>
      </c>
      <c r="Q47" s="85">
        <f t="shared" si="21"/>
        <v>224500.00000000006</v>
      </c>
      <c r="S47">
        <f t="shared" si="22"/>
        <v>2027</v>
      </c>
      <c r="T47" s="85">
        <f t="shared" si="23"/>
        <v>254433.33333333337</v>
      </c>
      <c r="U47" s="85">
        <f t="shared" si="24"/>
        <v>14966.666666666666</v>
      </c>
      <c r="V47" s="85">
        <f t="shared" si="25"/>
        <v>209533.33333333328</v>
      </c>
      <c r="W47" s="85">
        <f t="shared" si="26"/>
        <v>239466.66666666672</v>
      </c>
    </row>
    <row r="48" spans="1:23" x14ac:dyDescent="0.25">
      <c r="A48">
        <v>2028</v>
      </c>
      <c r="B48" s="85">
        <f t="shared" si="8"/>
        <v>194566.66666666674</v>
      </c>
      <c r="C48" s="85">
        <f t="shared" si="9"/>
        <v>14966.666666666666</v>
      </c>
      <c r="D48" s="85">
        <f t="shared" si="10"/>
        <v>269399.99999999994</v>
      </c>
      <c r="E48" s="85">
        <f t="shared" si="11"/>
        <v>179600.00000000006</v>
      </c>
      <c r="G48">
        <f t="shared" si="12"/>
        <v>2028</v>
      </c>
      <c r="H48" s="85">
        <f t="shared" si="13"/>
        <v>209533.3333333334</v>
      </c>
      <c r="I48" s="85">
        <f t="shared" si="14"/>
        <v>14966.666666666666</v>
      </c>
      <c r="J48" s="85">
        <f t="shared" si="15"/>
        <v>254433.33333333326</v>
      </c>
      <c r="K48" s="85">
        <f t="shared" si="16"/>
        <v>194566.66666666674</v>
      </c>
      <c r="M48">
        <f t="shared" si="17"/>
        <v>2028</v>
      </c>
      <c r="N48" s="85">
        <f t="shared" si="18"/>
        <v>224500.00000000006</v>
      </c>
      <c r="O48" s="85">
        <f t="shared" si="19"/>
        <v>14966.666666666666</v>
      </c>
      <c r="P48" s="85">
        <f t="shared" si="20"/>
        <v>239466.6666666666</v>
      </c>
      <c r="Q48" s="85">
        <f t="shared" si="21"/>
        <v>209533.3333333334</v>
      </c>
      <c r="S48">
        <f t="shared" si="22"/>
        <v>2028</v>
      </c>
      <c r="T48" s="85">
        <f t="shared" si="23"/>
        <v>239466.66666666672</v>
      </c>
      <c r="U48" s="85">
        <f t="shared" si="24"/>
        <v>14966.666666666666</v>
      </c>
      <c r="V48" s="85">
        <f t="shared" si="25"/>
        <v>224499.99999999994</v>
      </c>
      <c r="W48" s="85">
        <f t="shared" si="26"/>
        <v>224500.00000000006</v>
      </c>
    </row>
    <row r="49" spans="1:23" x14ac:dyDescent="0.25">
      <c r="A49">
        <v>2029</v>
      </c>
      <c r="B49" s="85">
        <f t="shared" si="8"/>
        <v>179600.00000000006</v>
      </c>
      <c r="C49" s="85">
        <f t="shared" si="9"/>
        <v>14966.666666666666</v>
      </c>
      <c r="D49" s="85">
        <f t="shared" si="10"/>
        <v>284366.66666666663</v>
      </c>
      <c r="E49" s="85">
        <f t="shared" si="11"/>
        <v>164633.33333333337</v>
      </c>
      <c r="G49">
        <f t="shared" si="12"/>
        <v>2029</v>
      </c>
      <c r="H49" s="85">
        <f t="shared" si="13"/>
        <v>194566.66666666674</v>
      </c>
      <c r="I49" s="85">
        <f t="shared" si="14"/>
        <v>14966.666666666666</v>
      </c>
      <c r="J49" s="85">
        <f t="shared" si="15"/>
        <v>269399.99999999994</v>
      </c>
      <c r="K49" s="85">
        <f t="shared" si="16"/>
        <v>179600.00000000006</v>
      </c>
      <c r="M49">
        <f t="shared" si="17"/>
        <v>2029</v>
      </c>
      <c r="N49" s="85">
        <f t="shared" si="18"/>
        <v>209533.3333333334</v>
      </c>
      <c r="O49" s="85">
        <f t="shared" si="19"/>
        <v>14966.666666666666</v>
      </c>
      <c r="P49" s="85">
        <f t="shared" si="20"/>
        <v>254433.33333333326</v>
      </c>
      <c r="Q49" s="85">
        <f t="shared" si="21"/>
        <v>194566.66666666674</v>
      </c>
      <c r="S49">
        <f t="shared" si="22"/>
        <v>2029</v>
      </c>
      <c r="T49" s="85">
        <f t="shared" si="23"/>
        <v>224500.00000000006</v>
      </c>
      <c r="U49" s="85">
        <f t="shared" si="24"/>
        <v>14966.666666666666</v>
      </c>
      <c r="V49" s="85">
        <f t="shared" si="25"/>
        <v>239466.6666666666</v>
      </c>
      <c r="W49" s="85">
        <f t="shared" si="26"/>
        <v>209533.3333333334</v>
      </c>
    </row>
    <row r="50" spans="1:23" x14ac:dyDescent="0.25">
      <c r="A50">
        <v>2030</v>
      </c>
      <c r="B50" s="85">
        <f t="shared" si="8"/>
        <v>164633.33333333337</v>
      </c>
      <c r="C50" s="85">
        <f t="shared" si="9"/>
        <v>14966.666666666666</v>
      </c>
      <c r="D50" s="85">
        <f>+D49+C50</f>
        <v>299333.33333333331</v>
      </c>
      <c r="E50" s="85">
        <f>+$B$31-D50</f>
        <v>149666.66666666669</v>
      </c>
      <c r="G50">
        <f t="shared" si="12"/>
        <v>2030</v>
      </c>
      <c r="H50" s="85">
        <f t="shared" si="13"/>
        <v>179600.00000000006</v>
      </c>
      <c r="I50" s="85">
        <f t="shared" si="14"/>
        <v>14966.666666666666</v>
      </c>
      <c r="J50" s="85">
        <f t="shared" si="15"/>
        <v>284366.66666666663</v>
      </c>
      <c r="K50" s="85">
        <f t="shared" si="16"/>
        <v>164633.33333333337</v>
      </c>
      <c r="M50">
        <f t="shared" si="17"/>
        <v>2030</v>
      </c>
      <c r="N50" s="85">
        <f t="shared" si="18"/>
        <v>194566.66666666674</v>
      </c>
      <c r="O50" s="85">
        <f t="shared" si="19"/>
        <v>14966.666666666666</v>
      </c>
      <c r="P50" s="85">
        <f t="shared" si="20"/>
        <v>269399.99999999994</v>
      </c>
      <c r="Q50" s="85">
        <f t="shared" si="21"/>
        <v>179600.00000000006</v>
      </c>
      <c r="S50">
        <f t="shared" si="22"/>
        <v>2030</v>
      </c>
      <c r="T50" s="85">
        <f t="shared" si="23"/>
        <v>209533.3333333334</v>
      </c>
      <c r="U50" s="85">
        <f t="shared" si="24"/>
        <v>14966.666666666666</v>
      </c>
      <c r="V50" s="85">
        <f t="shared" si="25"/>
        <v>254433.33333333326</v>
      </c>
      <c r="W50" s="85">
        <f t="shared" si="26"/>
        <v>194566.66666666674</v>
      </c>
    </row>
    <row r="51" spans="1:23" x14ac:dyDescent="0.25">
      <c r="A51">
        <v>2031</v>
      </c>
      <c r="B51" s="85">
        <f t="shared" ref="B51:B60" si="27">+E50</f>
        <v>149666.66666666669</v>
      </c>
      <c r="C51" s="85">
        <f t="shared" ref="C51:C60" si="28">+C50</f>
        <v>14966.666666666666</v>
      </c>
      <c r="D51" s="85">
        <f t="shared" ref="D51:D60" si="29">+D50+C51</f>
        <v>314300</v>
      </c>
      <c r="E51" s="85">
        <f t="shared" si="11"/>
        <v>134700</v>
      </c>
      <c r="G51">
        <f t="shared" si="12"/>
        <v>2031</v>
      </c>
      <c r="H51" s="85">
        <f t="shared" si="13"/>
        <v>164633.33333333337</v>
      </c>
      <c r="I51" s="85">
        <f t="shared" si="14"/>
        <v>14966.666666666666</v>
      </c>
      <c r="J51" s="85">
        <f>+J50+I51</f>
        <v>299333.33333333331</v>
      </c>
      <c r="K51" s="85">
        <f>+$B$31-J51</f>
        <v>149666.66666666669</v>
      </c>
      <c r="M51">
        <f t="shared" si="17"/>
        <v>2031</v>
      </c>
      <c r="N51" s="85">
        <f t="shared" si="18"/>
        <v>179600.00000000006</v>
      </c>
      <c r="O51" s="85">
        <f t="shared" si="19"/>
        <v>14966.666666666666</v>
      </c>
      <c r="P51" s="85">
        <f t="shared" si="20"/>
        <v>284366.66666666663</v>
      </c>
      <c r="Q51" s="85">
        <f t="shared" si="21"/>
        <v>164633.33333333337</v>
      </c>
      <c r="S51">
        <f t="shared" si="22"/>
        <v>2031</v>
      </c>
      <c r="T51" s="85">
        <f t="shared" si="23"/>
        <v>194566.66666666674</v>
      </c>
      <c r="U51" s="85">
        <f t="shared" si="24"/>
        <v>14966.666666666666</v>
      </c>
      <c r="V51" s="85">
        <f t="shared" si="25"/>
        <v>269399.99999999994</v>
      </c>
      <c r="W51" s="85">
        <f t="shared" si="26"/>
        <v>179600.00000000006</v>
      </c>
    </row>
    <row r="52" spans="1:23" x14ac:dyDescent="0.25">
      <c r="A52">
        <v>2032</v>
      </c>
      <c r="B52" s="85">
        <f t="shared" si="27"/>
        <v>134700</v>
      </c>
      <c r="C52" s="85">
        <f t="shared" si="28"/>
        <v>14966.666666666666</v>
      </c>
      <c r="D52" s="85">
        <f t="shared" si="29"/>
        <v>329266.66666666669</v>
      </c>
      <c r="E52" s="85">
        <f t="shared" si="11"/>
        <v>119733.33333333331</v>
      </c>
      <c r="G52">
        <f t="shared" si="12"/>
        <v>2032</v>
      </c>
      <c r="H52" s="85">
        <f t="shared" si="13"/>
        <v>149666.66666666669</v>
      </c>
      <c r="I52" s="85">
        <f t="shared" si="14"/>
        <v>14966.666666666666</v>
      </c>
      <c r="J52" s="85">
        <f t="shared" ref="J52:J61" si="30">+J51+I52</f>
        <v>314300</v>
      </c>
      <c r="K52" s="85">
        <f t="shared" si="16"/>
        <v>134700</v>
      </c>
      <c r="M52">
        <f t="shared" si="17"/>
        <v>2032</v>
      </c>
      <c r="N52" s="85">
        <f t="shared" si="18"/>
        <v>164633.33333333337</v>
      </c>
      <c r="O52" s="85">
        <f t="shared" si="19"/>
        <v>14966.666666666666</v>
      </c>
      <c r="P52" s="85">
        <f>+P51+O52</f>
        <v>299333.33333333331</v>
      </c>
      <c r="Q52" s="85">
        <f>+$B$31-P52</f>
        <v>149666.66666666669</v>
      </c>
      <c r="S52">
        <f t="shared" si="22"/>
        <v>2032</v>
      </c>
      <c r="T52" s="85">
        <f t="shared" si="23"/>
        <v>179600.00000000006</v>
      </c>
      <c r="U52" s="85">
        <f t="shared" si="24"/>
        <v>14966.666666666666</v>
      </c>
      <c r="V52" s="85">
        <f t="shared" si="25"/>
        <v>284366.66666666663</v>
      </c>
      <c r="W52" s="85">
        <f t="shared" si="26"/>
        <v>164633.33333333337</v>
      </c>
    </row>
    <row r="53" spans="1:23" x14ac:dyDescent="0.25">
      <c r="A53">
        <v>2033</v>
      </c>
      <c r="B53" s="85">
        <f t="shared" si="27"/>
        <v>119733.33333333331</v>
      </c>
      <c r="C53" s="85">
        <f t="shared" si="28"/>
        <v>14966.666666666666</v>
      </c>
      <c r="D53" s="85">
        <f t="shared" si="29"/>
        <v>344233.33333333337</v>
      </c>
      <c r="E53" s="85">
        <f t="shared" si="11"/>
        <v>104766.66666666663</v>
      </c>
      <c r="G53">
        <f t="shared" si="12"/>
        <v>2033</v>
      </c>
      <c r="H53" s="85">
        <f t="shared" si="13"/>
        <v>134700</v>
      </c>
      <c r="I53" s="85">
        <f t="shared" si="14"/>
        <v>14966.666666666666</v>
      </c>
      <c r="J53" s="85">
        <f t="shared" si="30"/>
        <v>329266.66666666669</v>
      </c>
      <c r="K53" s="85">
        <f t="shared" si="16"/>
        <v>119733.33333333331</v>
      </c>
      <c r="M53">
        <f t="shared" si="17"/>
        <v>2033</v>
      </c>
      <c r="N53" s="85">
        <f t="shared" si="18"/>
        <v>149666.66666666669</v>
      </c>
      <c r="O53" s="85">
        <f t="shared" si="19"/>
        <v>14966.666666666666</v>
      </c>
      <c r="P53" s="85">
        <f t="shared" ref="P53:P62" si="31">+P52+O53</f>
        <v>314300</v>
      </c>
      <c r="Q53" s="85">
        <f t="shared" si="21"/>
        <v>134700</v>
      </c>
      <c r="S53">
        <f t="shared" si="22"/>
        <v>2033</v>
      </c>
      <c r="T53" s="85">
        <f t="shared" si="23"/>
        <v>164633.33333333337</v>
      </c>
      <c r="U53" s="85">
        <f t="shared" si="24"/>
        <v>14966.666666666666</v>
      </c>
      <c r="V53" s="85">
        <f>+V52+U53</f>
        <v>299333.33333333331</v>
      </c>
      <c r="W53" s="85">
        <f>+$B$31-V53</f>
        <v>149666.66666666669</v>
      </c>
    </row>
    <row r="54" spans="1:23" x14ac:dyDescent="0.25">
      <c r="A54">
        <v>2034</v>
      </c>
      <c r="B54" s="85">
        <f t="shared" si="27"/>
        <v>104766.66666666663</v>
      </c>
      <c r="C54" s="85">
        <f t="shared" si="28"/>
        <v>14966.666666666666</v>
      </c>
      <c r="D54" s="85">
        <f t="shared" si="29"/>
        <v>359200.00000000006</v>
      </c>
      <c r="E54" s="85">
        <f t="shared" si="11"/>
        <v>89799.999999999942</v>
      </c>
      <c r="G54">
        <f t="shared" si="12"/>
        <v>2034</v>
      </c>
      <c r="H54" s="85">
        <f t="shared" si="13"/>
        <v>119733.33333333331</v>
      </c>
      <c r="I54" s="85">
        <f t="shared" si="14"/>
        <v>14966.666666666666</v>
      </c>
      <c r="J54" s="85">
        <f t="shared" si="30"/>
        <v>344233.33333333337</v>
      </c>
      <c r="K54" s="85">
        <f t="shared" si="16"/>
        <v>104766.66666666663</v>
      </c>
      <c r="M54">
        <f t="shared" si="17"/>
        <v>2034</v>
      </c>
      <c r="N54" s="85">
        <f t="shared" si="18"/>
        <v>134700</v>
      </c>
      <c r="O54" s="85">
        <f t="shared" si="19"/>
        <v>14966.666666666666</v>
      </c>
      <c r="P54" s="85">
        <f t="shared" si="31"/>
        <v>329266.66666666669</v>
      </c>
      <c r="Q54" s="85">
        <f t="shared" si="21"/>
        <v>119733.33333333331</v>
      </c>
      <c r="S54">
        <f t="shared" si="22"/>
        <v>2034</v>
      </c>
      <c r="T54" s="85">
        <f t="shared" si="23"/>
        <v>149666.66666666669</v>
      </c>
      <c r="U54" s="85">
        <f t="shared" si="24"/>
        <v>14966.666666666666</v>
      </c>
      <c r="V54" s="85">
        <f t="shared" ref="V54:V63" si="32">+V53+U54</f>
        <v>314300</v>
      </c>
      <c r="W54" s="85">
        <f t="shared" si="26"/>
        <v>134700</v>
      </c>
    </row>
    <row r="55" spans="1:23" x14ac:dyDescent="0.25">
      <c r="A55">
        <v>2035</v>
      </c>
      <c r="B55" s="85">
        <f t="shared" si="27"/>
        <v>89799.999999999942</v>
      </c>
      <c r="C55" s="85">
        <f t="shared" si="28"/>
        <v>14966.666666666666</v>
      </c>
      <c r="D55" s="85">
        <f t="shared" si="29"/>
        <v>374166.66666666674</v>
      </c>
      <c r="E55" s="85">
        <f t="shared" si="11"/>
        <v>74833.333333333256</v>
      </c>
      <c r="G55">
        <f t="shared" si="12"/>
        <v>2035</v>
      </c>
      <c r="H55" s="85">
        <f t="shared" si="13"/>
        <v>104766.66666666663</v>
      </c>
      <c r="I55" s="85">
        <f t="shared" si="14"/>
        <v>14966.666666666666</v>
      </c>
      <c r="J55" s="85">
        <f t="shared" si="30"/>
        <v>359200.00000000006</v>
      </c>
      <c r="K55" s="85">
        <f t="shared" si="16"/>
        <v>89799.999999999942</v>
      </c>
      <c r="M55">
        <f t="shared" si="17"/>
        <v>2035</v>
      </c>
      <c r="N55" s="85">
        <f t="shared" si="18"/>
        <v>119733.33333333331</v>
      </c>
      <c r="O55" s="85">
        <f t="shared" si="19"/>
        <v>14966.666666666666</v>
      </c>
      <c r="P55" s="85">
        <f t="shared" si="31"/>
        <v>344233.33333333337</v>
      </c>
      <c r="Q55" s="85">
        <f t="shared" si="21"/>
        <v>104766.66666666663</v>
      </c>
      <c r="S55">
        <f t="shared" si="22"/>
        <v>2035</v>
      </c>
      <c r="T55" s="85">
        <f t="shared" si="23"/>
        <v>134700</v>
      </c>
      <c r="U55" s="85">
        <f t="shared" si="24"/>
        <v>14966.666666666666</v>
      </c>
      <c r="V55" s="85">
        <f t="shared" si="32"/>
        <v>329266.66666666669</v>
      </c>
      <c r="W55" s="85">
        <f t="shared" si="26"/>
        <v>119733.33333333331</v>
      </c>
    </row>
    <row r="56" spans="1:23" x14ac:dyDescent="0.25">
      <c r="A56">
        <v>2036</v>
      </c>
      <c r="B56" s="85">
        <f t="shared" si="27"/>
        <v>74833.333333333256</v>
      </c>
      <c r="C56" s="85">
        <f t="shared" si="28"/>
        <v>14966.666666666666</v>
      </c>
      <c r="D56" s="85">
        <f t="shared" si="29"/>
        <v>389133.33333333343</v>
      </c>
      <c r="E56" s="85">
        <f t="shared" si="11"/>
        <v>59866.66666666657</v>
      </c>
      <c r="G56">
        <f t="shared" si="12"/>
        <v>2036</v>
      </c>
      <c r="H56" s="85">
        <f t="shared" si="13"/>
        <v>89799.999999999942</v>
      </c>
      <c r="I56" s="85">
        <f t="shared" si="14"/>
        <v>14966.666666666666</v>
      </c>
      <c r="J56" s="85">
        <f t="shared" si="30"/>
        <v>374166.66666666674</v>
      </c>
      <c r="K56" s="85">
        <f t="shared" si="16"/>
        <v>74833.333333333256</v>
      </c>
      <c r="M56">
        <f t="shared" si="17"/>
        <v>2036</v>
      </c>
      <c r="N56" s="85">
        <f t="shared" si="18"/>
        <v>104766.66666666663</v>
      </c>
      <c r="O56" s="85">
        <f t="shared" si="19"/>
        <v>14966.666666666666</v>
      </c>
      <c r="P56" s="85">
        <f t="shared" si="31"/>
        <v>359200.00000000006</v>
      </c>
      <c r="Q56" s="85">
        <f t="shared" si="21"/>
        <v>89799.999999999942</v>
      </c>
      <c r="S56">
        <f t="shared" si="22"/>
        <v>2036</v>
      </c>
      <c r="T56" s="85">
        <f t="shared" si="23"/>
        <v>119733.33333333331</v>
      </c>
      <c r="U56" s="85">
        <f t="shared" si="24"/>
        <v>14966.666666666666</v>
      </c>
      <c r="V56" s="85">
        <f t="shared" si="32"/>
        <v>344233.33333333337</v>
      </c>
      <c r="W56" s="85">
        <f t="shared" si="26"/>
        <v>104766.66666666663</v>
      </c>
    </row>
    <row r="57" spans="1:23" x14ac:dyDescent="0.25">
      <c r="A57">
        <v>2037</v>
      </c>
      <c r="B57" s="85">
        <f t="shared" si="27"/>
        <v>59866.66666666657</v>
      </c>
      <c r="C57" s="85">
        <f t="shared" si="28"/>
        <v>14966.666666666666</v>
      </c>
      <c r="D57" s="85">
        <f t="shared" si="29"/>
        <v>404100.00000000012</v>
      </c>
      <c r="E57" s="85">
        <f t="shared" si="11"/>
        <v>44899.999999999884</v>
      </c>
      <c r="G57">
        <f t="shared" si="12"/>
        <v>2037</v>
      </c>
      <c r="H57" s="85">
        <f t="shared" si="13"/>
        <v>74833.333333333256</v>
      </c>
      <c r="I57" s="85">
        <f t="shared" si="14"/>
        <v>14966.666666666666</v>
      </c>
      <c r="J57" s="85">
        <f t="shared" si="30"/>
        <v>389133.33333333343</v>
      </c>
      <c r="K57" s="85">
        <f t="shared" si="16"/>
        <v>59866.66666666657</v>
      </c>
      <c r="M57">
        <f t="shared" si="17"/>
        <v>2037</v>
      </c>
      <c r="N57" s="85">
        <f t="shared" si="18"/>
        <v>89799.999999999942</v>
      </c>
      <c r="O57" s="85">
        <f t="shared" si="19"/>
        <v>14966.666666666666</v>
      </c>
      <c r="P57" s="85">
        <f t="shared" si="31"/>
        <v>374166.66666666674</v>
      </c>
      <c r="Q57" s="85">
        <f t="shared" si="21"/>
        <v>74833.333333333256</v>
      </c>
      <c r="S57">
        <f t="shared" si="22"/>
        <v>2037</v>
      </c>
      <c r="T57" s="85">
        <f t="shared" si="23"/>
        <v>104766.66666666663</v>
      </c>
      <c r="U57" s="85">
        <f t="shared" si="24"/>
        <v>14966.666666666666</v>
      </c>
      <c r="V57" s="85">
        <f t="shared" si="32"/>
        <v>359200.00000000006</v>
      </c>
      <c r="W57" s="85">
        <f t="shared" si="26"/>
        <v>89799.999999999942</v>
      </c>
    </row>
    <row r="58" spans="1:23" x14ac:dyDescent="0.25">
      <c r="A58">
        <v>2038</v>
      </c>
      <c r="B58" s="85">
        <f t="shared" si="27"/>
        <v>44899.999999999884</v>
      </c>
      <c r="C58" s="85">
        <f t="shared" si="28"/>
        <v>14966.666666666666</v>
      </c>
      <c r="D58" s="85">
        <f t="shared" si="29"/>
        <v>419066.6666666668</v>
      </c>
      <c r="E58" s="85">
        <f t="shared" si="11"/>
        <v>29933.333333333198</v>
      </c>
      <c r="G58">
        <f t="shared" si="12"/>
        <v>2038</v>
      </c>
      <c r="H58" s="85">
        <f t="shared" si="13"/>
        <v>59866.66666666657</v>
      </c>
      <c r="I58" s="85">
        <f t="shared" si="14"/>
        <v>14966.666666666666</v>
      </c>
      <c r="J58" s="85">
        <f t="shared" si="30"/>
        <v>404100.00000000012</v>
      </c>
      <c r="K58" s="85">
        <f t="shared" si="16"/>
        <v>44899.999999999884</v>
      </c>
      <c r="M58">
        <f t="shared" si="17"/>
        <v>2038</v>
      </c>
      <c r="N58" s="85">
        <f t="shared" si="18"/>
        <v>74833.333333333256</v>
      </c>
      <c r="O58" s="85">
        <f t="shared" si="19"/>
        <v>14966.666666666666</v>
      </c>
      <c r="P58" s="85">
        <f t="shared" si="31"/>
        <v>389133.33333333343</v>
      </c>
      <c r="Q58" s="85">
        <f t="shared" si="21"/>
        <v>59866.66666666657</v>
      </c>
      <c r="S58">
        <f t="shared" si="22"/>
        <v>2038</v>
      </c>
      <c r="T58" s="85">
        <f t="shared" si="23"/>
        <v>89799.999999999942</v>
      </c>
      <c r="U58" s="85">
        <f t="shared" si="24"/>
        <v>14966.666666666666</v>
      </c>
      <c r="V58" s="85">
        <f t="shared" si="32"/>
        <v>374166.66666666674</v>
      </c>
      <c r="W58" s="85">
        <f t="shared" si="26"/>
        <v>74833.333333333256</v>
      </c>
    </row>
    <row r="59" spans="1:23" x14ac:dyDescent="0.25">
      <c r="A59">
        <v>2039</v>
      </c>
      <c r="B59" s="85">
        <f t="shared" si="27"/>
        <v>29933.333333333198</v>
      </c>
      <c r="C59" s="85">
        <f t="shared" si="28"/>
        <v>14966.666666666666</v>
      </c>
      <c r="D59" s="85">
        <f t="shared" si="29"/>
        <v>434033.33333333349</v>
      </c>
      <c r="E59" s="85">
        <f t="shared" si="11"/>
        <v>14966.666666666511</v>
      </c>
      <c r="G59">
        <f t="shared" si="12"/>
        <v>2039</v>
      </c>
      <c r="H59" s="85">
        <f t="shared" si="13"/>
        <v>44899.999999999884</v>
      </c>
      <c r="I59" s="85">
        <f t="shared" si="14"/>
        <v>14966.666666666666</v>
      </c>
      <c r="J59" s="85">
        <f t="shared" si="30"/>
        <v>419066.6666666668</v>
      </c>
      <c r="K59" s="85">
        <f t="shared" si="16"/>
        <v>29933.333333333198</v>
      </c>
      <c r="M59">
        <f t="shared" si="17"/>
        <v>2039</v>
      </c>
      <c r="N59" s="85">
        <f t="shared" si="18"/>
        <v>59866.66666666657</v>
      </c>
      <c r="O59" s="85">
        <f t="shared" si="19"/>
        <v>14966.666666666666</v>
      </c>
      <c r="P59" s="85">
        <f t="shared" si="31"/>
        <v>404100.00000000012</v>
      </c>
      <c r="Q59" s="85">
        <f t="shared" si="21"/>
        <v>44899.999999999884</v>
      </c>
      <c r="S59">
        <f t="shared" si="22"/>
        <v>2039</v>
      </c>
      <c r="T59" s="85">
        <f t="shared" si="23"/>
        <v>74833.333333333256</v>
      </c>
      <c r="U59" s="85">
        <f t="shared" si="24"/>
        <v>14966.666666666666</v>
      </c>
      <c r="V59" s="85">
        <f t="shared" si="32"/>
        <v>389133.33333333343</v>
      </c>
      <c r="W59" s="85">
        <f t="shared" si="26"/>
        <v>59866.66666666657</v>
      </c>
    </row>
    <row r="60" spans="1:23" x14ac:dyDescent="0.25">
      <c r="A60">
        <v>2040</v>
      </c>
      <c r="B60" s="85">
        <f t="shared" si="27"/>
        <v>14966.666666666511</v>
      </c>
      <c r="C60" s="85">
        <f t="shared" si="28"/>
        <v>14966.666666666666</v>
      </c>
      <c r="D60" s="85">
        <f t="shared" si="29"/>
        <v>449000.00000000017</v>
      </c>
      <c r="E60" s="85">
        <f t="shared" si="11"/>
        <v>0</v>
      </c>
      <c r="G60">
        <f t="shared" si="12"/>
        <v>2040</v>
      </c>
      <c r="H60" s="85">
        <f t="shared" si="13"/>
        <v>29933.333333333198</v>
      </c>
      <c r="I60" s="85">
        <f t="shared" si="14"/>
        <v>14966.666666666666</v>
      </c>
      <c r="J60" s="85">
        <f t="shared" si="30"/>
        <v>434033.33333333349</v>
      </c>
      <c r="K60" s="85">
        <f t="shared" si="16"/>
        <v>14966.666666666511</v>
      </c>
      <c r="M60">
        <f t="shared" si="17"/>
        <v>2040</v>
      </c>
      <c r="N60" s="85">
        <f t="shared" si="18"/>
        <v>44899.999999999884</v>
      </c>
      <c r="O60" s="85">
        <f t="shared" si="19"/>
        <v>14966.666666666666</v>
      </c>
      <c r="P60" s="85">
        <f t="shared" si="31"/>
        <v>419066.6666666668</v>
      </c>
      <c r="Q60" s="85">
        <f t="shared" si="21"/>
        <v>29933.333333333198</v>
      </c>
      <c r="S60">
        <f t="shared" si="22"/>
        <v>2040</v>
      </c>
      <c r="T60" s="85">
        <f t="shared" si="23"/>
        <v>59866.66666666657</v>
      </c>
      <c r="U60" s="85">
        <f t="shared" si="24"/>
        <v>14966.666666666666</v>
      </c>
      <c r="V60" s="85">
        <f t="shared" si="32"/>
        <v>404100.00000000012</v>
      </c>
      <c r="W60" s="85">
        <f t="shared" si="26"/>
        <v>44899.999999999884</v>
      </c>
    </row>
    <row r="61" spans="1:23" x14ac:dyDescent="0.25">
      <c r="G61">
        <f t="shared" si="12"/>
        <v>2041</v>
      </c>
      <c r="H61" s="85">
        <f t="shared" si="13"/>
        <v>14966.666666666511</v>
      </c>
      <c r="I61" s="85">
        <f t="shared" si="14"/>
        <v>14966.666666666666</v>
      </c>
      <c r="J61" s="85">
        <f t="shared" si="30"/>
        <v>449000.00000000017</v>
      </c>
      <c r="K61" s="85">
        <f t="shared" si="16"/>
        <v>0</v>
      </c>
      <c r="M61">
        <f t="shared" si="17"/>
        <v>2041</v>
      </c>
      <c r="N61" s="85">
        <f t="shared" si="18"/>
        <v>29933.333333333198</v>
      </c>
      <c r="O61" s="85">
        <f t="shared" si="19"/>
        <v>14966.666666666666</v>
      </c>
      <c r="P61" s="85">
        <f t="shared" si="31"/>
        <v>434033.33333333349</v>
      </c>
      <c r="Q61" s="85">
        <f t="shared" si="21"/>
        <v>14966.666666666511</v>
      </c>
      <c r="S61">
        <f t="shared" si="22"/>
        <v>2041</v>
      </c>
      <c r="T61" s="85">
        <f t="shared" si="23"/>
        <v>44899.999999999884</v>
      </c>
      <c r="U61" s="85">
        <f t="shared" si="24"/>
        <v>14966.666666666666</v>
      </c>
      <c r="V61" s="85">
        <f t="shared" si="32"/>
        <v>419066.6666666668</v>
      </c>
      <c r="W61" s="85">
        <f t="shared" si="26"/>
        <v>29933.333333333198</v>
      </c>
    </row>
    <row r="62" spans="1:23" x14ac:dyDescent="0.25">
      <c r="M62">
        <f t="shared" si="17"/>
        <v>2042</v>
      </c>
      <c r="N62" s="85">
        <f t="shared" si="18"/>
        <v>14966.666666666511</v>
      </c>
      <c r="O62" s="85">
        <f t="shared" si="19"/>
        <v>14966.666666666666</v>
      </c>
      <c r="P62" s="85">
        <f t="shared" si="31"/>
        <v>449000.00000000017</v>
      </c>
      <c r="Q62" s="85">
        <f t="shared" si="21"/>
        <v>0</v>
      </c>
      <c r="S62">
        <f t="shared" si="22"/>
        <v>2042</v>
      </c>
      <c r="T62" s="85">
        <f t="shared" si="23"/>
        <v>29933.333333333198</v>
      </c>
      <c r="U62" s="85">
        <f t="shared" si="24"/>
        <v>14966.666666666666</v>
      </c>
      <c r="V62" s="85">
        <f t="shared" si="32"/>
        <v>434033.33333333349</v>
      </c>
      <c r="W62" s="85">
        <f t="shared" si="26"/>
        <v>14966.666666666511</v>
      </c>
    </row>
    <row r="63" spans="1:23" x14ac:dyDescent="0.25">
      <c r="S63">
        <f t="shared" si="22"/>
        <v>2043</v>
      </c>
      <c r="T63" s="85">
        <f t="shared" si="23"/>
        <v>14966.666666666511</v>
      </c>
      <c r="U63" s="85">
        <f t="shared" si="24"/>
        <v>14966.666666666666</v>
      </c>
      <c r="V63" s="85">
        <f t="shared" si="32"/>
        <v>449000.00000000017</v>
      </c>
      <c r="W63" s="85">
        <f t="shared" si="26"/>
        <v>0</v>
      </c>
    </row>
  </sheetData>
  <mergeCells count="5">
    <mergeCell ref="A29:E29"/>
    <mergeCell ref="G29:K29"/>
    <mergeCell ref="M29:Q29"/>
    <mergeCell ref="S29:W29"/>
    <mergeCell ref="G2:K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24"/>
  <sheetViews>
    <sheetView workbookViewId="0">
      <selection activeCell="F17" sqref="F17"/>
    </sheetView>
  </sheetViews>
  <sheetFormatPr defaultRowHeight="15" x14ac:dyDescent="0.25"/>
  <cols>
    <col min="1" max="1" width="28" bestFit="1" customWidth="1"/>
    <col min="2" max="2" width="15.7109375" bestFit="1" customWidth="1"/>
    <col min="3" max="3" width="10.7109375" bestFit="1" customWidth="1"/>
    <col min="4" max="4" width="18.5703125" customWidth="1"/>
  </cols>
  <sheetData>
    <row r="1" spans="1:5" ht="15.75" thickBot="1" x14ac:dyDescent="0.3"/>
    <row r="2" spans="1:5" ht="15.75" thickBot="1" x14ac:dyDescent="0.3">
      <c r="A2" s="327" t="s">
        <v>205</v>
      </c>
      <c r="B2" s="328"/>
      <c r="C2" s="328"/>
      <c r="D2" s="329"/>
    </row>
    <row r="3" spans="1:5" x14ac:dyDescent="0.25">
      <c r="A3" s="209"/>
      <c r="B3" s="253" t="s">
        <v>207</v>
      </c>
      <c r="C3" s="253" t="s">
        <v>209</v>
      </c>
      <c r="D3" s="254" t="s">
        <v>206</v>
      </c>
    </row>
    <row r="4" spans="1:5" x14ac:dyDescent="0.25">
      <c r="A4" s="251" t="s">
        <v>210</v>
      </c>
      <c r="B4" s="256">
        <v>0.5</v>
      </c>
      <c r="C4" s="256">
        <v>0.1</v>
      </c>
      <c r="D4" s="258">
        <f>+C4*B4</f>
        <v>0.05</v>
      </c>
    </row>
    <row r="5" spans="1:5" x14ac:dyDescent="0.25">
      <c r="A5" s="251" t="s">
        <v>211</v>
      </c>
      <c r="B5" s="256">
        <v>0.25</v>
      </c>
      <c r="C5" s="256">
        <v>0.2</v>
      </c>
      <c r="D5" s="258">
        <f>+C5*B5</f>
        <v>0.05</v>
      </c>
    </row>
    <row r="6" spans="1:5" ht="15.75" thickBot="1" x14ac:dyDescent="0.3">
      <c r="A6" s="255" t="s">
        <v>212</v>
      </c>
      <c r="B6" s="257">
        <v>0.25</v>
      </c>
      <c r="C6" s="257">
        <v>-0.1</v>
      </c>
      <c r="D6" s="263">
        <f>+C6*B6</f>
        <v>-2.5000000000000001E-2</v>
      </c>
    </row>
    <row r="7" spans="1:5" ht="15.75" thickBot="1" x14ac:dyDescent="0.3">
      <c r="A7" s="324" t="s">
        <v>208</v>
      </c>
      <c r="B7" s="325"/>
      <c r="C7" s="326"/>
      <c r="D7" s="264">
        <f>+SUM(D4:D6)</f>
        <v>7.5000000000000011E-2</v>
      </c>
      <c r="E7" s="235" t="s">
        <v>213</v>
      </c>
    </row>
    <row r="8" spans="1:5" ht="15.75" thickBot="1" x14ac:dyDescent="0.3"/>
    <row r="9" spans="1:5" ht="15.75" thickBot="1" x14ac:dyDescent="0.3">
      <c r="A9" s="330" t="s">
        <v>220</v>
      </c>
      <c r="B9" s="331"/>
      <c r="C9" s="331"/>
      <c r="D9" s="332"/>
    </row>
    <row r="10" spans="1:5" ht="30" x14ac:dyDescent="0.25">
      <c r="A10" s="259"/>
      <c r="B10" s="266" t="s">
        <v>218</v>
      </c>
      <c r="C10" s="266" t="s">
        <v>206</v>
      </c>
      <c r="D10" s="265" t="s">
        <v>219</v>
      </c>
    </row>
    <row r="11" spans="1:5" x14ac:dyDescent="0.25">
      <c r="A11" s="251" t="s">
        <v>214</v>
      </c>
      <c r="B11" s="256">
        <v>0.3</v>
      </c>
      <c r="C11" s="256">
        <v>0.11799999999999999</v>
      </c>
      <c r="D11" s="252">
        <f>+B11*C11</f>
        <v>3.5399999999999994E-2</v>
      </c>
    </row>
    <row r="12" spans="1:5" x14ac:dyDescent="0.25">
      <c r="A12" s="251" t="s">
        <v>215</v>
      </c>
      <c r="B12" s="256">
        <v>0.3</v>
      </c>
      <c r="C12" s="256">
        <v>8.0600000000000005E-2</v>
      </c>
      <c r="D12" s="252">
        <f t="shared" ref="D12:D14" si="0">+B12*C12</f>
        <v>2.418E-2</v>
      </c>
    </row>
    <row r="13" spans="1:5" x14ac:dyDescent="0.25">
      <c r="A13" s="251" t="s">
        <v>216</v>
      </c>
      <c r="B13" s="256">
        <v>0.3</v>
      </c>
      <c r="C13" s="256">
        <v>0.13639999999999999</v>
      </c>
      <c r="D13" s="252">
        <f t="shared" si="0"/>
        <v>4.0919999999999998E-2</v>
      </c>
    </row>
    <row r="14" spans="1:5" ht="15.75" thickBot="1" x14ac:dyDescent="0.3">
      <c r="A14" s="262" t="s">
        <v>217</v>
      </c>
      <c r="B14" s="268">
        <v>0.1</v>
      </c>
      <c r="C14" s="268">
        <v>7.3499999999999996E-2</v>
      </c>
      <c r="D14" s="252">
        <f t="shared" si="0"/>
        <v>7.3499999999999998E-3</v>
      </c>
    </row>
    <row r="15" spans="1:5" ht="15.75" thickBot="1" x14ac:dyDescent="0.3">
      <c r="A15" s="324" t="s">
        <v>221</v>
      </c>
      <c r="B15" s="325"/>
      <c r="C15" s="326"/>
      <c r="D15" s="267">
        <f>+SUM(D11:D14)</f>
        <v>0.10784999999999999</v>
      </c>
      <c r="E15" s="235" t="s">
        <v>222</v>
      </c>
    </row>
    <row r="16" spans="1:5" ht="15.75" thickBot="1" x14ac:dyDescent="0.3"/>
    <row r="17" spans="1:5" ht="15.75" thickBot="1" x14ac:dyDescent="0.3">
      <c r="A17" s="333" t="s">
        <v>227</v>
      </c>
      <c r="B17" s="334"/>
      <c r="C17" s="334"/>
      <c r="D17" s="334"/>
      <c r="E17" s="335"/>
    </row>
    <row r="18" spans="1:5" x14ac:dyDescent="0.25">
      <c r="A18" s="209"/>
      <c r="B18" s="260" t="s">
        <v>223</v>
      </c>
      <c r="C18" s="260" t="s">
        <v>224</v>
      </c>
      <c r="D18" s="260" t="s">
        <v>225</v>
      </c>
      <c r="E18" s="261" t="s">
        <v>226</v>
      </c>
    </row>
    <row r="19" spans="1:5" x14ac:dyDescent="0.25">
      <c r="A19" s="251" t="s">
        <v>214</v>
      </c>
      <c r="B19" s="250"/>
      <c r="C19" s="250"/>
      <c r="D19" s="250"/>
      <c r="E19" s="269"/>
    </row>
    <row r="20" spans="1:5" x14ac:dyDescent="0.25">
      <c r="A20" s="251" t="s">
        <v>215</v>
      </c>
      <c r="B20" s="250"/>
      <c r="C20" s="250"/>
      <c r="D20" s="250"/>
      <c r="E20" s="269"/>
    </row>
    <row r="21" spans="1:5" x14ac:dyDescent="0.25">
      <c r="A21" s="251" t="s">
        <v>216</v>
      </c>
      <c r="B21" s="250"/>
      <c r="C21" s="250"/>
      <c r="D21" s="250"/>
      <c r="E21" s="269"/>
    </row>
    <row r="22" spans="1:5" ht="15.75" thickBot="1" x14ac:dyDescent="0.3">
      <c r="A22" s="262" t="s">
        <v>217</v>
      </c>
      <c r="B22" s="270"/>
      <c r="C22" s="270"/>
      <c r="D22" s="270"/>
      <c r="E22" s="271"/>
    </row>
    <row r="24" spans="1:5" x14ac:dyDescent="0.25">
      <c r="A24" t="s">
        <v>228</v>
      </c>
      <c r="B24" s="272">
        <v>0.15</v>
      </c>
    </row>
  </sheetData>
  <mergeCells count="5">
    <mergeCell ref="A7:C7"/>
    <mergeCell ref="A2:D2"/>
    <mergeCell ref="A9:D9"/>
    <mergeCell ref="A15:C15"/>
    <mergeCell ref="A17:E17"/>
  </mergeCells>
  <hyperlinks>
    <hyperlink ref="E7" r:id="rId1" location="axzz1wyf6b3ze" display="http://www.investopedia.com/terms/e/expectedreturn.asp - axzz1wyf6b3ze"/>
    <hyperlink ref="E15"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C&amp;R-RE Group</vt:lpstr>
      <vt:lpstr>Note Table</vt:lpstr>
      <vt:lpstr>Depreciation Schedule</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2013-12-18T20:02:54Z</dcterms:created>
  <dcterms:modified xsi:type="dcterms:W3CDTF">2019-05-17T20:50:57Z</dcterms:modified>
</cp:coreProperties>
</file>