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15600" windowHeight="9240"/>
  </bookViews>
  <sheets>
    <sheet name="Answer" sheetId="3" r:id="rId1"/>
    <sheet name="Mortgage" sheetId="2" r:id="rId2"/>
    <sheet name="Historic WACC" sheetId="4" r:id="rId3"/>
  </sheets>
  <calcPr calcId="145621"/>
</workbook>
</file>

<file path=xl/calcChain.xml><?xml version="1.0" encoding="utf-8"?>
<calcChain xmlns="http://schemas.openxmlformats.org/spreadsheetml/2006/main">
  <c r="J115" i="3" l="1"/>
  <c r="J135" i="3" s="1"/>
  <c r="I115" i="3"/>
  <c r="I135" i="3" s="1"/>
  <c r="H115" i="3"/>
  <c r="G115" i="3"/>
  <c r="G135" i="3" s="1"/>
  <c r="H135" i="3" l="1"/>
  <c r="J141" i="3"/>
  <c r="C33" i="4"/>
  <c r="C29" i="4"/>
  <c r="C22" i="4"/>
  <c r="C21" i="4"/>
  <c r="C28" i="4"/>
  <c r="C27" i="4"/>
  <c r="C18" i="4"/>
  <c r="C1" i="4"/>
  <c r="H99" i="3"/>
  <c r="I99" i="3"/>
  <c r="J99" i="3"/>
  <c r="G99" i="3"/>
  <c r="C11" i="4"/>
  <c r="C9" i="4" l="1"/>
  <c r="C32" i="4" s="1"/>
  <c r="C26" i="4" s="1"/>
  <c r="C25" i="4" s="1"/>
  <c r="D17" i="4" s="1"/>
  <c r="C152" i="3" s="1"/>
  <c r="J71" i="3"/>
  <c r="H71" i="3"/>
  <c r="I71" i="3"/>
  <c r="G71" i="3"/>
  <c r="E32" i="3"/>
  <c r="G32" i="3" s="1"/>
  <c r="D30" i="3"/>
  <c r="D33" i="3"/>
  <c r="E29" i="3"/>
  <c r="C42" i="3"/>
  <c r="E42" i="3" s="1"/>
  <c r="E41" i="3"/>
  <c r="G41" i="3" s="1"/>
  <c r="B63" i="3"/>
  <c r="B62" i="3"/>
  <c r="B64" i="3"/>
  <c r="B61" i="3"/>
  <c r="B53" i="3"/>
  <c r="B54" i="3"/>
  <c r="B56" i="3"/>
  <c r="B52" i="3"/>
  <c r="C30" i="3"/>
  <c r="C33" i="3"/>
  <c r="C43" i="3" s="1"/>
  <c r="E43" i="3" s="1"/>
  <c r="G17" i="3"/>
  <c r="H17" i="3" s="1"/>
  <c r="I17" i="3" s="1"/>
  <c r="J17" i="3" s="1"/>
  <c r="E20" i="3"/>
  <c r="H20" i="3" s="1"/>
  <c r="H66" i="3" s="1"/>
  <c r="G42" i="3" l="1"/>
  <c r="H42" i="3" s="1"/>
  <c r="I42" i="3" s="1"/>
  <c r="J42" i="3" s="1"/>
  <c r="H41" i="3"/>
  <c r="I41" i="3" s="1"/>
  <c r="J41" i="3" s="1"/>
  <c r="G55" i="3"/>
  <c r="H32" i="3"/>
  <c r="G43" i="3"/>
  <c r="H43" i="3" s="1"/>
  <c r="I20" i="3"/>
  <c r="I66" i="3" s="1"/>
  <c r="J20" i="3"/>
  <c r="J66" i="3" s="1"/>
  <c r="G20" i="3"/>
  <c r="G66" i="3" s="1"/>
  <c r="H3" i="2"/>
  <c r="E33" i="3"/>
  <c r="G33" i="3" s="1"/>
  <c r="E30" i="3"/>
  <c r="G30" i="3" s="1"/>
  <c r="G29" i="3"/>
  <c r="D31" i="3"/>
  <c r="E31" i="3" s="1"/>
  <c r="G31" i="3" s="1"/>
  <c r="H21" i="3"/>
  <c r="H65" i="3" s="1"/>
  <c r="I21" i="3"/>
  <c r="I65" i="3" s="1"/>
  <c r="J21" i="3"/>
  <c r="J65" i="3" s="1"/>
  <c r="G21" i="3"/>
  <c r="G65" i="3" s="1"/>
  <c r="H27" i="3"/>
  <c r="H64" i="3" s="1"/>
  <c r="I27" i="3"/>
  <c r="I64" i="3" s="1"/>
  <c r="J27" i="3"/>
  <c r="J64" i="3" s="1"/>
  <c r="G27" i="3"/>
  <c r="G64" i="3" s="1"/>
  <c r="H26" i="3"/>
  <c r="H63" i="3" s="1"/>
  <c r="I26" i="3"/>
  <c r="I63" i="3" s="1"/>
  <c r="J26" i="3"/>
  <c r="J63" i="3" s="1"/>
  <c r="G26" i="3"/>
  <c r="G63" i="3" s="1"/>
  <c r="H25" i="3"/>
  <c r="H62" i="3" s="1"/>
  <c r="I25" i="3"/>
  <c r="I62" i="3" s="1"/>
  <c r="J25" i="3"/>
  <c r="J62" i="3" s="1"/>
  <c r="G25" i="3"/>
  <c r="G62" i="3" s="1"/>
  <c r="D24" i="3"/>
  <c r="G24" i="3" s="1"/>
  <c r="G61" i="3" s="1"/>
  <c r="E5" i="3"/>
  <c r="G5" i="3" s="1"/>
  <c r="H5" i="3" s="1"/>
  <c r="I5" i="3" s="1"/>
  <c r="J5" i="3" s="1"/>
  <c r="E6" i="3"/>
  <c r="G6" i="3" s="1"/>
  <c r="H6" i="3" s="1"/>
  <c r="I6" i="3" s="1"/>
  <c r="J6" i="3" s="1"/>
  <c r="E7" i="3"/>
  <c r="G7" i="3" s="1"/>
  <c r="H7" i="3" s="1"/>
  <c r="I7" i="3" s="1"/>
  <c r="J7" i="3" s="1"/>
  <c r="E8" i="3"/>
  <c r="G8" i="3" s="1"/>
  <c r="H8" i="3" s="1"/>
  <c r="I8" i="3" s="1"/>
  <c r="J8" i="3" s="1"/>
  <c r="E9" i="3"/>
  <c r="G9" i="3" s="1"/>
  <c r="H9" i="3" s="1"/>
  <c r="I9" i="3" s="1"/>
  <c r="J9" i="3" s="1"/>
  <c r="E10" i="3"/>
  <c r="G10" i="3" s="1"/>
  <c r="H10" i="3" s="1"/>
  <c r="I10" i="3" s="1"/>
  <c r="J10" i="3" s="1"/>
  <c r="E11" i="3"/>
  <c r="G11" i="3" s="1"/>
  <c r="H11" i="3" s="1"/>
  <c r="I11" i="3" s="1"/>
  <c r="J11" i="3" s="1"/>
  <c r="E12" i="3"/>
  <c r="G12" i="3" s="1"/>
  <c r="H12" i="3" s="1"/>
  <c r="I12" i="3" s="1"/>
  <c r="J12" i="3" s="1"/>
  <c r="E13" i="3"/>
  <c r="G13" i="3" s="1"/>
  <c r="H13" i="3" s="1"/>
  <c r="I13" i="3" s="1"/>
  <c r="J13" i="3" s="1"/>
  <c r="E14" i="3"/>
  <c r="G14" i="3" s="1"/>
  <c r="H14" i="3" s="1"/>
  <c r="I14" i="3" s="1"/>
  <c r="J14" i="3" s="1"/>
  <c r="E15" i="3"/>
  <c r="G15" i="3" s="1"/>
  <c r="H15" i="3" s="1"/>
  <c r="I15" i="3" s="1"/>
  <c r="J15" i="3" s="1"/>
  <c r="E16" i="3"/>
  <c r="G16" i="3" s="1"/>
  <c r="H16" i="3" s="1"/>
  <c r="I16" i="3" s="1"/>
  <c r="J16" i="3" s="1"/>
  <c r="E4" i="3"/>
  <c r="G4" i="3" s="1"/>
  <c r="H4" i="3" s="1"/>
  <c r="I4" i="3" s="1"/>
  <c r="J4" i="3" s="1"/>
  <c r="I24" i="3" l="1"/>
  <c r="I61" i="3" s="1"/>
  <c r="H55" i="3"/>
  <c r="I32" i="3"/>
  <c r="G52" i="3"/>
  <c r="H29" i="3"/>
  <c r="H40" i="3"/>
  <c r="I43" i="3"/>
  <c r="G40" i="3"/>
  <c r="I23" i="3"/>
  <c r="H30" i="3"/>
  <c r="G53" i="3"/>
  <c r="H33" i="3"/>
  <c r="G56" i="3"/>
  <c r="H31" i="3"/>
  <c r="G54" i="3"/>
  <c r="H52" i="3"/>
  <c r="G28" i="3"/>
  <c r="G38" i="3" s="1"/>
  <c r="G82" i="3" s="1"/>
  <c r="G116" i="3" s="1"/>
  <c r="G136" i="3" s="1"/>
  <c r="E18" i="3"/>
  <c r="G18" i="3" s="1"/>
  <c r="G23" i="3"/>
  <c r="J24" i="3"/>
  <c r="H24" i="3"/>
  <c r="G19" i="3" l="1"/>
  <c r="G86" i="3" s="1"/>
  <c r="H86" i="3" s="1"/>
  <c r="I86" i="3" s="1"/>
  <c r="J86" i="3" s="1"/>
  <c r="G85" i="3"/>
  <c r="F131" i="3" s="1"/>
  <c r="F146" i="3" s="1"/>
  <c r="F149" i="3" s="1"/>
  <c r="G39" i="3"/>
  <c r="G92" i="3" s="1"/>
  <c r="G117" i="3" s="1"/>
  <c r="G137" i="3" s="1"/>
  <c r="G57" i="3"/>
  <c r="I55" i="3"/>
  <c r="J32" i="3"/>
  <c r="J55" i="3" s="1"/>
  <c r="H39" i="3"/>
  <c r="H92" i="3" s="1"/>
  <c r="H117" i="3" s="1"/>
  <c r="H137" i="3" s="1"/>
  <c r="H57" i="3"/>
  <c r="J43" i="3"/>
  <c r="J40" i="3" s="1"/>
  <c r="I40" i="3"/>
  <c r="G69" i="3"/>
  <c r="G122" i="3" s="1"/>
  <c r="G127" i="3" s="1"/>
  <c r="H23" i="3"/>
  <c r="H61" i="3"/>
  <c r="G51" i="3"/>
  <c r="J23" i="3"/>
  <c r="J61" i="3"/>
  <c r="H18" i="3"/>
  <c r="H19" i="3" s="1"/>
  <c r="H69" i="3" s="1"/>
  <c r="H122" i="3" s="1"/>
  <c r="H127" i="3" s="1"/>
  <c r="I33" i="3"/>
  <c r="H56" i="3"/>
  <c r="I31" i="3"/>
  <c r="H54" i="3"/>
  <c r="I30" i="3"/>
  <c r="H53" i="3"/>
  <c r="H28" i="3"/>
  <c r="H38" i="3" s="1"/>
  <c r="H82" i="3" s="1"/>
  <c r="I29" i="3"/>
  <c r="I52" i="3" s="1"/>
  <c r="G83" i="3"/>
  <c r="H4" i="2"/>
  <c r="E54" i="2" s="1"/>
  <c r="G58" i="3" l="1"/>
  <c r="G67" i="3" s="1"/>
  <c r="G87" i="3"/>
  <c r="H83" i="3"/>
  <c r="H116" i="3"/>
  <c r="H136" i="3" s="1"/>
  <c r="I39" i="3"/>
  <c r="I92" i="3" s="1"/>
  <c r="I117" i="3" s="1"/>
  <c r="I137" i="3" s="1"/>
  <c r="I57" i="3"/>
  <c r="J39" i="3"/>
  <c r="J92" i="3" s="1"/>
  <c r="J117" i="3" s="1"/>
  <c r="J57" i="3"/>
  <c r="H51" i="3"/>
  <c r="H58" i="3" s="1"/>
  <c r="H67" i="3" s="1"/>
  <c r="I18" i="3"/>
  <c r="I19" i="3" s="1"/>
  <c r="I69" i="3" s="1"/>
  <c r="I122" i="3" s="1"/>
  <c r="I127" i="3" s="1"/>
  <c r="H85" i="3"/>
  <c r="H87" i="3" s="1"/>
  <c r="H89" i="3" s="1"/>
  <c r="J31" i="3"/>
  <c r="J54" i="3" s="1"/>
  <c r="I54" i="3"/>
  <c r="G89" i="3"/>
  <c r="J30" i="3"/>
  <c r="J53" i="3" s="1"/>
  <c r="I53" i="3"/>
  <c r="J33" i="3"/>
  <c r="J56" i="3" s="1"/>
  <c r="I56" i="3"/>
  <c r="J29" i="3"/>
  <c r="I28" i="3"/>
  <c r="I38" i="3" s="1"/>
  <c r="I82" i="3" s="1"/>
  <c r="I116" i="3" s="1"/>
  <c r="I136" i="3" s="1"/>
  <c r="E5" i="2"/>
  <c r="E9" i="2"/>
  <c r="E13" i="2"/>
  <c r="E19" i="2"/>
  <c r="E23" i="2"/>
  <c r="E27" i="2"/>
  <c r="E33" i="2"/>
  <c r="E37" i="2"/>
  <c r="E41" i="2"/>
  <c r="E47" i="2"/>
  <c r="E51" i="2"/>
  <c r="E55" i="2"/>
  <c r="E2" i="2"/>
  <c r="E6" i="2"/>
  <c r="E10" i="2"/>
  <c r="E16" i="2"/>
  <c r="E20" i="2"/>
  <c r="E24" i="2"/>
  <c r="E30" i="2"/>
  <c r="E34" i="2"/>
  <c r="E38" i="2"/>
  <c r="E44" i="2"/>
  <c r="E48" i="2"/>
  <c r="E52" i="2"/>
  <c r="E3" i="2"/>
  <c r="E7" i="2"/>
  <c r="E11" i="2"/>
  <c r="E17" i="2"/>
  <c r="E21" i="2"/>
  <c r="E25" i="2"/>
  <c r="E31" i="2"/>
  <c r="E35" i="2"/>
  <c r="E39" i="2"/>
  <c r="E45" i="2"/>
  <c r="E49" i="2"/>
  <c r="E53" i="2"/>
  <c r="E4" i="2"/>
  <c r="E8" i="2"/>
  <c r="E12" i="2"/>
  <c r="E18" i="2"/>
  <c r="E22" i="2"/>
  <c r="E26" i="2"/>
  <c r="E32" i="2"/>
  <c r="E36" i="2"/>
  <c r="E40" i="2"/>
  <c r="E46" i="2"/>
  <c r="E50" i="2"/>
  <c r="D2" i="2"/>
  <c r="J137" i="3" l="1"/>
  <c r="J143" i="3"/>
  <c r="J18" i="3"/>
  <c r="I85" i="3"/>
  <c r="I51" i="3"/>
  <c r="I58" i="3" s="1"/>
  <c r="I67" i="3" s="1"/>
  <c r="J28" i="3"/>
  <c r="J38" i="3" s="1"/>
  <c r="J82" i="3" s="1"/>
  <c r="J116" i="3" s="1"/>
  <c r="J52" i="3"/>
  <c r="J51" i="3" s="1"/>
  <c r="J58" i="3" s="1"/>
  <c r="J67" i="3" s="1"/>
  <c r="I87" i="3"/>
  <c r="I83" i="3"/>
  <c r="C2" i="2"/>
  <c r="J136" i="3" l="1"/>
  <c r="J142" i="3"/>
  <c r="J85" i="3"/>
  <c r="J87" i="3" s="1"/>
  <c r="J19" i="3"/>
  <c r="G101" i="3"/>
  <c r="I89" i="3"/>
  <c r="J83" i="3"/>
  <c r="F2" i="2"/>
  <c r="B3" i="2" s="1"/>
  <c r="J69" i="3" l="1"/>
  <c r="J122" i="3" s="1"/>
  <c r="J127" i="3" s="1"/>
  <c r="J132" i="3"/>
  <c r="J89" i="3"/>
  <c r="D3" i="2"/>
  <c r="H101" i="3" l="1"/>
  <c r="J101" i="3"/>
  <c r="I101" i="3"/>
  <c r="C3" i="2"/>
  <c r="F3" i="2" l="1"/>
  <c r="B4" i="2" s="1"/>
  <c r="D4" i="2" l="1"/>
  <c r="C4" i="2" l="1"/>
  <c r="F4" i="2" l="1"/>
  <c r="B5" i="2" s="1"/>
  <c r="D5" i="2" l="1"/>
  <c r="C5" i="2" l="1"/>
  <c r="F5" i="2" l="1"/>
  <c r="B6" i="2" s="1"/>
  <c r="D6" i="2" l="1"/>
  <c r="C6" i="2" s="1"/>
  <c r="F6" i="2" l="1"/>
  <c r="B7" i="2" s="1"/>
  <c r="D7" i="2" l="1"/>
  <c r="C7" i="2" s="1"/>
  <c r="F7" i="2" s="1"/>
  <c r="B8" i="2" s="1"/>
  <c r="D8" i="2" l="1"/>
  <c r="C8" i="2" s="1"/>
  <c r="F8" i="2" s="1"/>
  <c r="B9" i="2" s="1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l="1"/>
  <c r="D14" i="2"/>
  <c r="G36" i="3" s="1"/>
  <c r="G70" i="3" s="1"/>
  <c r="G72" i="3" s="1"/>
  <c r="C14" i="2" l="1"/>
  <c r="G37" i="3" s="1"/>
  <c r="F13" i="2"/>
  <c r="G35" i="3" l="1"/>
  <c r="G96" i="3" s="1"/>
  <c r="B16" i="2"/>
  <c r="D16" i="2" s="1"/>
  <c r="C16" i="2" l="1"/>
  <c r="F16" i="2" l="1"/>
  <c r="B17" i="2" s="1"/>
  <c r="D17" i="2" l="1"/>
  <c r="C17" i="2" l="1"/>
  <c r="F17" i="2" l="1"/>
  <c r="B18" i="2" s="1"/>
  <c r="D18" i="2" l="1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s="1"/>
  <c r="F21" i="2" s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H36" i="3" s="1"/>
  <c r="H70" i="3" s="1"/>
  <c r="H72" i="3" s="1"/>
  <c r="C28" i="2" l="1"/>
  <c r="H37" i="3" s="1"/>
  <c r="F27" i="2"/>
  <c r="H35" i="3" s="1"/>
  <c r="H96" i="3" s="1"/>
  <c r="B30" i="2" l="1"/>
  <c r="D30" i="2" s="1"/>
  <c r="C30" i="2" l="1"/>
  <c r="F30" i="2" l="1"/>
  <c r="B31" i="2" s="1"/>
  <c r="D31" i="2" l="1"/>
  <c r="C31" i="2" l="1"/>
  <c r="F31" i="2" l="1"/>
  <c r="B32" i="2" s="1"/>
  <c r="D32" i="2" l="1"/>
  <c r="C32" i="2" l="1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s="1"/>
  <c r="F35" i="2" s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D42" i="2"/>
  <c r="I36" i="3" s="1"/>
  <c r="I70" i="3" s="1"/>
  <c r="I72" i="3" s="1"/>
  <c r="C42" i="2" l="1"/>
  <c r="I37" i="3" s="1"/>
  <c r="F41" i="2"/>
  <c r="I35" i="3" s="1"/>
  <c r="I96" i="3" s="1"/>
  <c r="B44" i="2" l="1"/>
  <c r="D44" i="2" s="1"/>
  <c r="C44" i="2" l="1"/>
  <c r="F44" i="2" l="1"/>
  <c r="B45" i="2" s="1"/>
  <c r="D45" i="2" l="1"/>
  <c r="C45" i="2" l="1"/>
  <c r="F45" i="2" l="1"/>
  <c r="B46" i="2" s="1"/>
  <c r="D46" i="2" l="1"/>
  <c r="C46" i="2" l="1"/>
  <c r="F46" i="2" l="1"/>
  <c r="B47" i="2" s="1"/>
  <c r="D47" i="2" l="1"/>
  <c r="C47" i="2" l="1"/>
  <c r="F47" i="2" l="1"/>
  <c r="B48" i="2" s="1"/>
  <c r="D48" i="2" l="1"/>
  <c r="C48" i="2" l="1"/>
  <c r="F48" i="2" l="1"/>
  <c r="B49" i="2" s="1"/>
  <c r="D49" i="2" l="1"/>
  <c r="C49" i="2" s="1"/>
  <c r="F49" i="2" s="1"/>
  <c r="B50" i="2" s="1"/>
  <c r="D50" i="2" l="1"/>
  <c r="C50" i="2" s="1"/>
  <c r="F50" i="2" s="1"/>
  <c r="B51" i="2" s="1"/>
  <c r="D51" i="2" l="1"/>
  <c r="C51" i="2" s="1"/>
  <c r="F51" i="2" s="1"/>
  <c r="B52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l="1"/>
  <c r="D56" i="2"/>
  <c r="J36" i="3" s="1"/>
  <c r="J70" i="3" s="1"/>
  <c r="J72" i="3" s="1"/>
  <c r="C56" i="2" l="1"/>
  <c r="J37" i="3" s="1"/>
  <c r="F55" i="2"/>
  <c r="J35" i="3" s="1"/>
  <c r="J96" i="3" s="1"/>
  <c r="G121" i="3" l="1"/>
  <c r="G123" i="3" s="1"/>
  <c r="G74" i="3"/>
  <c r="G124" i="3" l="1"/>
  <c r="G125" i="3" s="1"/>
  <c r="G129" i="3" s="1"/>
  <c r="G93" i="3"/>
  <c r="G76" i="3"/>
  <c r="G118" i="3" l="1"/>
  <c r="G138" i="3" s="1"/>
  <c r="G146" i="3" s="1"/>
  <c r="G94" i="3"/>
  <c r="G112" i="3"/>
  <c r="G111" i="3"/>
  <c r="G149" i="3" l="1"/>
  <c r="G110" i="3"/>
  <c r="G109" i="3"/>
  <c r="G103" i="3"/>
  <c r="G106" i="3" s="1"/>
  <c r="J121" i="3"/>
  <c r="J123" i="3" s="1"/>
  <c r="I121" i="3"/>
  <c r="I123" i="3" s="1"/>
  <c r="H121" i="3"/>
  <c r="H123" i="3" s="1"/>
  <c r="J74" i="3"/>
  <c r="J93" i="3" s="1"/>
  <c r="H74" i="3"/>
  <c r="H93" i="3" s="1"/>
  <c r="I74" i="3"/>
  <c r="I93" i="3" s="1"/>
  <c r="I124" i="3" l="1"/>
  <c r="I125" i="3" s="1"/>
  <c r="I129" i="3" s="1"/>
  <c r="J124" i="3"/>
  <c r="J125" i="3" s="1"/>
  <c r="J129" i="3" s="1"/>
  <c r="H124" i="3"/>
  <c r="H125" i="3" s="1"/>
  <c r="H129" i="3" s="1"/>
  <c r="J76" i="3"/>
  <c r="J112" i="3" s="1"/>
  <c r="H76" i="3"/>
  <c r="H112" i="3" s="1"/>
  <c r="J94" i="3"/>
  <c r="J118" i="3"/>
  <c r="I94" i="3"/>
  <c r="I118" i="3"/>
  <c r="H118" i="3"/>
  <c r="H138" i="3" s="1"/>
  <c r="H94" i="3"/>
  <c r="I76" i="3"/>
  <c r="H146" i="3" l="1"/>
  <c r="H111" i="3"/>
  <c r="H149" i="3"/>
  <c r="J111" i="3"/>
  <c r="I138" i="3"/>
  <c r="I146" i="3" s="1"/>
  <c r="I149" i="3" s="1"/>
  <c r="J144" i="3"/>
  <c r="J138" i="3"/>
  <c r="H103" i="3"/>
  <c r="H106" i="3" s="1"/>
  <c r="H109" i="3"/>
  <c r="H110" i="3"/>
  <c r="I112" i="3"/>
  <c r="I111" i="3"/>
  <c r="I103" i="3"/>
  <c r="I106" i="3" s="1"/>
  <c r="I109" i="3"/>
  <c r="I110" i="3"/>
  <c r="J109" i="3"/>
  <c r="J103" i="3"/>
  <c r="J106" i="3" s="1"/>
  <c r="J110" i="3"/>
  <c r="J146" i="3" l="1"/>
  <c r="J149" i="3" s="1"/>
  <c r="F151" i="3"/>
  <c r="F150" i="3"/>
</calcChain>
</file>

<file path=xl/sharedStrings.xml><?xml version="1.0" encoding="utf-8"?>
<sst xmlns="http://schemas.openxmlformats.org/spreadsheetml/2006/main" count="209" uniqueCount="182">
  <si>
    <t>Beg Balance</t>
  </si>
  <si>
    <t>Principal</t>
  </si>
  <si>
    <t xml:space="preserve">Interest </t>
  </si>
  <si>
    <t>Payment</t>
  </si>
  <si>
    <t>End Balance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</si>
  <si>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</si>
  <si>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</si>
  <si>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</si>
  <si>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</si>
  <si>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</si>
  <si>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</si>
  <si>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</si>
  <si>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</si>
  <si>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</si>
  <si>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</si>
  <si>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</si>
  <si>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</si>
  <si>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</si>
  <si>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</si>
  <si>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</si>
  <si>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</si>
  <si>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</si>
  <si>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</si>
  <si>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</si>
  <si>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</si>
  <si>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</si>
  <si>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</si>
  <si>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</si>
  <si>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</si>
  <si>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</si>
  <si>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</si>
  <si>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</si>
  <si>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</si>
  <si>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</si>
  <si>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</si>
  <si>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</si>
  <si>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</si>
  <si>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</si>
  <si>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</si>
  <si>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</si>
  <si>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</si>
  <si>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</si>
  <si>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</si>
  <si>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</si>
  <si>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</si>
  <si>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</si>
  <si>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</si>
  <si>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</si>
  <si>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</si>
  <si>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</si>
  <si>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</si>
  <si>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</si>
  <si>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</si>
  <si>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</si>
  <si>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Rate</t>
  </si>
  <si>
    <t>Term</t>
  </si>
  <si>
    <t>Assumtions</t>
  </si>
  <si>
    <t>Income Statement</t>
  </si>
  <si>
    <t>Gross Profit</t>
  </si>
  <si>
    <t>Expenses</t>
  </si>
  <si>
    <t xml:space="preserve">     Interest on Mortgage expense</t>
  </si>
  <si>
    <t xml:space="preserve">     Interest on Cash</t>
  </si>
  <si>
    <t>Pre tax income</t>
  </si>
  <si>
    <t xml:space="preserve">     Taxes expense</t>
  </si>
  <si>
    <t>Net Income</t>
  </si>
  <si>
    <t>Balance Sheet</t>
  </si>
  <si>
    <t>Assest</t>
  </si>
  <si>
    <t>Cash</t>
  </si>
  <si>
    <t>Total Current Assets</t>
  </si>
  <si>
    <t>Gross PPE</t>
  </si>
  <si>
    <t>Accumulated Depreciation</t>
  </si>
  <si>
    <t>Net Plant and Equimment</t>
  </si>
  <si>
    <t>Total Assets</t>
  </si>
  <si>
    <t>Liablilities and Stock Holders Equity</t>
  </si>
  <si>
    <t>Tax Payable</t>
  </si>
  <si>
    <t>Current Liablilties</t>
  </si>
  <si>
    <t>Long Term Debt</t>
  </si>
  <si>
    <t>DFN</t>
  </si>
  <si>
    <t>Common Stock</t>
  </si>
  <si>
    <t>Retained Earnings</t>
  </si>
  <si>
    <t>Total Shareholders Equity</t>
  </si>
  <si>
    <t>Total Liabilites and share holders equity</t>
  </si>
  <si>
    <t>extra funds needed</t>
  </si>
  <si>
    <t>Current Ratio</t>
  </si>
  <si>
    <t>Debt to Equity</t>
  </si>
  <si>
    <t>ROA</t>
  </si>
  <si>
    <t>ROE</t>
  </si>
  <si>
    <t>Loan</t>
  </si>
  <si>
    <t>Deprecation</t>
  </si>
  <si>
    <t>Capital Yards Idaho Falls</t>
  </si>
  <si>
    <t>Used Walkers (lawn mowers)</t>
  </si>
  <si>
    <t>qty</t>
  </si>
  <si>
    <t>Price</t>
  </si>
  <si>
    <t>Weed Wackers</t>
  </si>
  <si>
    <t>Hand blowers</t>
  </si>
  <si>
    <t>Gas cans</t>
  </si>
  <si>
    <t>Industrial push mower</t>
  </si>
  <si>
    <t>Trailors</t>
  </si>
  <si>
    <t>Trucks</t>
  </si>
  <si>
    <t>Trash bins</t>
  </si>
  <si>
    <t>Hand Tools</t>
  </si>
  <si>
    <t xml:space="preserve">Rakes </t>
  </si>
  <si>
    <t>Edger</t>
  </si>
  <si>
    <t>Tree trimmer</t>
  </si>
  <si>
    <t>Misc tools</t>
  </si>
  <si>
    <t>Snow shovel</t>
  </si>
  <si>
    <t>Total Equipment (B/S)</t>
  </si>
  <si>
    <t>Storage</t>
  </si>
  <si>
    <t>Operations Expense</t>
  </si>
  <si>
    <t>Maintenince Expense</t>
  </si>
  <si>
    <t xml:space="preserve">Wages 40 hours per week </t>
  </si>
  <si>
    <t>Number of work weeks per year</t>
  </si>
  <si>
    <t>Revenue from Contracts</t>
  </si>
  <si>
    <t>Large</t>
  </si>
  <si>
    <t>Houses</t>
  </si>
  <si>
    <t>One time contract</t>
  </si>
  <si>
    <t>Percent increase in sales per year</t>
  </si>
  <si>
    <t>Interest</t>
  </si>
  <si>
    <t>Principle</t>
  </si>
  <si>
    <t>Total</t>
  </si>
  <si>
    <t>Revenue</t>
  </si>
  <si>
    <t>COGS</t>
  </si>
  <si>
    <t xml:space="preserve">Gas can   </t>
  </si>
  <si>
    <t>Gas in truck</t>
  </si>
  <si>
    <t xml:space="preserve">Oil for gas </t>
  </si>
  <si>
    <t>Labor Expense</t>
  </si>
  <si>
    <t>A/R</t>
  </si>
  <si>
    <t>Depreciation</t>
  </si>
  <si>
    <t>years</t>
  </si>
  <si>
    <t>A/P</t>
  </si>
  <si>
    <t>days</t>
  </si>
  <si>
    <t>Sod</t>
  </si>
  <si>
    <t>Fertilizer</t>
  </si>
  <si>
    <t>Fertilizer Jobs</t>
  </si>
  <si>
    <t>Taxes</t>
  </si>
  <si>
    <t xml:space="preserve">    A/P</t>
  </si>
  <si>
    <t>Interest on Cash</t>
  </si>
  <si>
    <t>Unlevered Beta</t>
  </si>
  <si>
    <t>Regular Beta</t>
  </si>
  <si>
    <t>Tax Rate</t>
  </si>
  <si>
    <t>Debt</t>
  </si>
  <si>
    <t>Equity</t>
  </si>
  <si>
    <t>Relevered Beta</t>
  </si>
  <si>
    <t>unlevered beta</t>
  </si>
  <si>
    <t>Target Debt</t>
  </si>
  <si>
    <t>WACC</t>
  </si>
  <si>
    <t>Cost of Debt</t>
  </si>
  <si>
    <t>rd (pretax cost of debt)</t>
  </si>
  <si>
    <t>D (debt)</t>
  </si>
  <si>
    <t>V (Debt + Equity)</t>
  </si>
  <si>
    <t>Cost of Equity</t>
  </si>
  <si>
    <t>Re (after tax cost of equity)</t>
  </si>
  <si>
    <t>E (equity)</t>
  </si>
  <si>
    <t>V (debt + equity)</t>
  </si>
  <si>
    <t>risk premium (spread)</t>
  </si>
  <si>
    <t>S&amp;P</t>
  </si>
  <si>
    <t>T-bills</t>
  </si>
  <si>
    <t>beta</t>
  </si>
  <si>
    <t>riskless rate</t>
  </si>
  <si>
    <t>Vegetation</t>
  </si>
  <si>
    <t>Complexes</t>
  </si>
  <si>
    <t>Working Capital Accounts</t>
  </si>
  <si>
    <t>FCFs</t>
  </si>
  <si>
    <t>Operating Profit</t>
  </si>
  <si>
    <t>Less: Depreciation</t>
  </si>
  <si>
    <t>Taxable Income</t>
  </si>
  <si>
    <t>Income Tax</t>
  </si>
  <si>
    <t>Net Income After Taxes</t>
  </si>
  <si>
    <t>Add: Depreciation</t>
  </si>
  <si>
    <t>Cash From Operations</t>
  </si>
  <si>
    <t>EBITDA</t>
  </si>
  <si>
    <t>Changes in Working Capital Accounts</t>
  </si>
  <si>
    <t>Termination of Working Capital Accounts</t>
  </si>
  <si>
    <t>Year</t>
  </si>
  <si>
    <t>PVs</t>
  </si>
  <si>
    <t>NPV</t>
  </si>
  <si>
    <t>IRR</t>
  </si>
  <si>
    <t>Discount rate (WACC)</t>
  </si>
  <si>
    <t>Capital Expenditures</t>
  </si>
  <si>
    <t>Sell at book value</t>
  </si>
  <si>
    <t>http://www.bizbuysell.com/Business-Opportunity/Lawn-Maintenance-Company/677762/?d=%2fwEFSCUyZm1pbm5lc290YSUyZmFpdGtpbi1jb3VudHktYnVzaW5lc3Nlcy1mb3Itc2FsZSUyZiUzZnElM2QlMmZ3RUZCWEowY3oweA%3d%3d</t>
  </si>
  <si>
    <t>Lawn Mainenance Company For Sale: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</si>
</sst>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&quot;$&quot;#,##0.00;[Red]\-&quot;$&quot;#,##0.00"/>
    <numFmt numFmtId="165" formatCode="_-* #,##0.00_-;\-* #,##0.00_-;_-* &quot;-&quot;??_-;_-@_-"/>
    <numFmt numFmtId="166" formatCode="[$$-409]#,##0.00;[Red]\-[$$-409]#,##0.00"/>
    <numFmt numFmtId="167" formatCode="_(* #,##0_);_(* \(#,##0\);_(* \-??_);_(@_)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Font="1" applyAlignment="1">
      <alignment wrapText="1"/>
    </xf>
    <xf numFmtId="166" fontId="0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8" fontId="0" fillId="0" borderId="0" xfId="0" applyNumberFormat="1"/>
    <xf numFmtId="0" fontId="1" fillId="2" borderId="0" xfId="0" applyFont="1" applyFill="1"/>
    <xf numFmtId="0" fontId="0" fillId="0" borderId="0" xfId="0" applyFont="1"/>
    <xf numFmtId="9" fontId="0" fillId="0" borderId="0" xfId="0" applyNumberFormat="1"/>
    <xf numFmtId="167" fontId="2" fillId="0" borderId="0" xfId="1" applyNumberFormat="1"/>
    <xf numFmtId="167" fontId="2" fillId="0" borderId="1" xfId="1" applyNumberFormat="1" applyBorder="1"/>
    <xf numFmtId="165" fontId="2" fillId="0" borderId="0" xfId="1" applyNumberFormat="1"/>
    <xf numFmtId="0" fontId="0" fillId="0" borderId="0" xfId="0" applyAlignment="1">
      <alignment horizontal="left" indent="2"/>
    </xf>
    <xf numFmtId="165" fontId="2" fillId="0" borderId="1" xfId="1" applyNumberFormat="1" applyBorder="1"/>
    <xf numFmtId="0" fontId="0" fillId="0" borderId="0" xfId="0" applyAlignment="1">
      <alignment horizontal="left"/>
    </xf>
    <xf numFmtId="167" fontId="2" fillId="0" borderId="2" xfId="1" applyNumberFormat="1" applyBorder="1"/>
    <xf numFmtId="0" fontId="0" fillId="0" borderId="0" xfId="0" applyAlignment="1">
      <alignment horizontal="left" indent="1"/>
    </xf>
    <xf numFmtId="167" fontId="0" fillId="0" borderId="0" xfId="0" applyNumberFormat="1"/>
    <xf numFmtId="165" fontId="2" fillId="0" borderId="0" xfId="1"/>
    <xf numFmtId="165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10" fontId="2" fillId="0" borderId="0" xfId="2" applyNumberFormat="1" applyBorder="1"/>
    <xf numFmtId="10" fontId="2" fillId="0" borderId="7" xfId="2" applyNumberFormat="1" applyBorder="1"/>
    <xf numFmtId="0" fontId="0" fillId="0" borderId="8" xfId="0" applyBorder="1"/>
    <xf numFmtId="0" fontId="0" fillId="0" borderId="9" xfId="0" applyBorder="1"/>
    <xf numFmtId="10" fontId="2" fillId="0" borderId="9" xfId="2" applyNumberFormat="1" applyBorder="1"/>
    <xf numFmtId="10" fontId="2" fillId="0" borderId="10" xfId="2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68" fontId="2" fillId="0" borderId="0" xfId="1" applyNumberFormat="1"/>
    <xf numFmtId="9" fontId="0" fillId="0" borderId="0" xfId="2" applyFont="1"/>
    <xf numFmtId="165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NumberFormat="1"/>
    <xf numFmtId="0" fontId="5" fillId="3" borderId="0" xfId="0" applyFont="1" applyFill="1"/>
    <xf numFmtId="0" fontId="0" fillId="3" borderId="0" xfId="0" applyFill="1"/>
    <xf numFmtId="0" fontId="5" fillId="0" borderId="0" xfId="0" applyFont="1"/>
    <xf numFmtId="10" fontId="5" fillId="3" borderId="0" xfId="2" applyNumberFormat="1" applyFont="1" applyFill="1"/>
    <xf numFmtId="10" fontId="0" fillId="0" borderId="0" xfId="2" applyNumberFormat="1" applyFont="1"/>
    <xf numFmtId="10" fontId="6" fillId="0" borderId="0" xfId="2" applyNumberFormat="1" applyFont="1"/>
    <xf numFmtId="2" fontId="0" fillId="0" borderId="4" xfId="0" applyNumberFormat="1" applyBorder="1"/>
    <xf numFmtId="2" fontId="0" fillId="0" borderId="5" xfId="0" applyNumberFormat="1" applyBorder="1"/>
    <xf numFmtId="2" fontId="0" fillId="0" borderId="0" xfId="0" applyNumberFormat="1" applyBorder="1"/>
    <xf numFmtId="2" fontId="0" fillId="0" borderId="7" xfId="0" applyNumberFormat="1" applyBorder="1"/>
    <xf numFmtId="0" fontId="8" fillId="0" borderId="0" xfId="3" applyFont="1"/>
    <xf numFmtId="168" fontId="0" fillId="0" borderId="0" xfId="1" applyNumberFormat="1" applyFont="1"/>
    <xf numFmtId="0" fontId="0" fillId="0" borderId="0" xfId="0" applyFont="1" applyAlignment="1">
      <alignment horizontal="left"/>
    </xf>
    <xf numFmtId="0" fontId="7" fillId="0" borderId="0" xfId="3"/>
    <xf numFmtId="167" fontId="2" fillId="0" borderId="11" xfId="1" applyNumberFormat="1" applyBorder="1"/>
    <xf numFmtId="167" fontId="2" fillId="0" borderId="0" xfId="1" applyNumberFormat="1" applyBorder="1"/>
    <xf numFmtId="168" fontId="0" fillId="0" borderId="0" xfId="0" applyNumberFormat="1"/>
    <xf numFmtId="167" fontId="0" fillId="0" borderId="0" xfId="1" applyNumberFormat="1" applyFont="1"/>
    <xf numFmtId="0" fontId="8" fillId="0" borderId="0" xfId="3" applyFont="1" applyBorder="1"/>
    <xf numFmtId="10" fontId="0" fillId="0" borderId="0" xfId="0" applyNumberFormat="1"/>
    <xf numFmtId="164" fontId="0" fillId="0" borderId="0" xfId="0" applyNumberFormat="1"/>
    <xf numFmtId="0" fontId="9" fillId="0" borderId="0" xfId="4" applyAlignment="1" applyProtection="1"/>
    <xf numFmtId="0" fontId="3" fillId="0" borderId="0" xfId="0" applyFont="1" applyAlignment="1">
      <alignment horizontal="center"/>
    </xf>
  </cellXfs>
  <cellStyles count="5">
    <cellStyle name="Comma" xfId="1" builtinId="3"/>
    <cellStyle name="Excel Built-in Normal" xf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zbuysell.com/Business-Opportunity/Lawn-Maintenance-Company/677762/?d=%2fwEFSCUyZm1pbm5lc290YSUyZmFpdGtpbi1jb3VudHktYnVzaW5lc3Nlcy1mb3Itc2FsZSUyZiUzZnElM2QlMmZ3RUZCWEowY3oweA%3d%3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zoomScaleNormal="100" workbookViewId="0">
      <selection activeCell="B154" sqref="B154"/>
    </sheetView>
  </sheetViews>
  <sheetFormatPr defaultRowHeight="15" x14ac:dyDescent="0.25"/>
  <cols>
    <col min="1" max="1" width="5.140625" customWidth="1"/>
    <col min="2" max="2" width="29.5703125" customWidth="1"/>
    <col min="3" max="3" width="7.42578125" bestFit="1" customWidth="1"/>
    <col min="6" max="6" width="10.85546875" bestFit="1" customWidth="1"/>
    <col min="7" max="10" width="14" bestFit="1" customWidth="1"/>
    <col min="12" max="12" width="9.5703125" bestFit="1" customWidth="1"/>
  </cols>
  <sheetData>
    <row r="1" spans="2:10" ht="18.75" x14ac:dyDescent="0.3">
      <c r="B1" s="65" t="s">
        <v>89</v>
      </c>
      <c r="C1" s="65"/>
      <c r="D1" s="65"/>
      <c r="E1" s="32"/>
      <c r="F1" s="38"/>
    </row>
    <row r="2" spans="2:10" x14ac:dyDescent="0.25">
      <c r="G2" s="7">
        <v>2013</v>
      </c>
      <c r="H2" s="7">
        <v>2014</v>
      </c>
      <c r="I2" s="7">
        <v>2015</v>
      </c>
      <c r="J2" s="7">
        <v>2016</v>
      </c>
    </row>
    <row r="3" spans="2:10" x14ac:dyDescent="0.25">
      <c r="B3" s="5" t="s">
        <v>56</v>
      </c>
      <c r="C3" s="39" t="s">
        <v>91</v>
      </c>
      <c r="D3" s="40" t="s">
        <v>92</v>
      </c>
      <c r="E3" s="31" t="s">
        <v>119</v>
      </c>
      <c r="F3" s="31"/>
    </row>
    <row r="4" spans="2:10" x14ac:dyDescent="0.25">
      <c r="B4" s="33" t="s">
        <v>90</v>
      </c>
      <c r="C4" s="5">
        <v>3</v>
      </c>
      <c r="D4">
        <v>6000</v>
      </c>
      <c r="E4">
        <f>D4*C4</f>
        <v>18000</v>
      </c>
      <c r="G4">
        <f t="shared" ref="G4:G18" si="0">E4</f>
        <v>18000</v>
      </c>
      <c r="H4">
        <f t="shared" ref="H4:J4" si="1">G4</f>
        <v>18000</v>
      </c>
      <c r="I4">
        <f t="shared" si="1"/>
        <v>18000</v>
      </c>
      <c r="J4">
        <f t="shared" si="1"/>
        <v>18000</v>
      </c>
    </row>
    <row r="5" spans="2:10" x14ac:dyDescent="0.25">
      <c r="B5" s="34" t="s">
        <v>93</v>
      </c>
      <c r="C5">
        <v>3</v>
      </c>
      <c r="D5">
        <v>300</v>
      </c>
      <c r="E5">
        <f t="shared" ref="E5:E16" si="2">D5*C5</f>
        <v>900</v>
      </c>
      <c r="G5">
        <f t="shared" si="0"/>
        <v>900</v>
      </c>
      <c r="H5">
        <f t="shared" ref="H5:J17" si="3">G5</f>
        <v>900</v>
      </c>
      <c r="I5">
        <f t="shared" si="3"/>
        <v>900</v>
      </c>
      <c r="J5">
        <f t="shared" si="3"/>
        <v>900</v>
      </c>
    </row>
    <row r="6" spans="2:10" x14ac:dyDescent="0.25">
      <c r="B6" s="34" t="s">
        <v>94</v>
      </c>
      <c r="C6">
        <v>2</v>
      </c>
      <c r="D6">
        <v>150</v>
      </c>
      <c r="E6">
        <f t="shared" si="2"/>
        <v>300</v>
      </c>
      <c r="G6">
        <f t="shared" si="0"/>
        <v>300</v>
      </c>
      <c r="H6">
        <f t="shared" si="3"/>
        <v>300</v>
      </c>
      <c r="I6">
        <f t="shared" si="3"/>
        <v>300</v>
      </c>
      <c r="J6">
        <f t="shared" si="3"/>
        <v>300</v>
      </c>
    </row>
    <row r="7" spans="2:10" x14ac:dyDescent="0.25">
      <c r="B7" s="34" t="s">
        <v>95</v>
      </c>
      <c r="C7">
        <v>5</v>
      </c>
      <c r="D7">
        <v>23</v>
      </c>
      <c r="E7">
        <f t="shared" si="2"/>
        <v>115</v>
      </c>
      <c r="G7">
        <f t="shared" si="0"/>
        <v>115</v>
      </c>
      <c r="H7">
        <f t="shared" si="3"/>
        <v>115</v>
      </c>
      <c r="I7">
        <f t="shared" si="3"/>
        <v>115</v>
      </c>
      <c r="J7">
        <f t="shared" si="3"/>
        <v>115</v>
      </c>
    </row>
    <row r="8" spans="2:10" x14ac:dyDescent="0.25">
      <c r="B8" s="34" t="s">
        <v>96</v>
      </c>
      <c r="C8">
        <v>1</v>
      </c>
      <c r="D8">
        <v>400</v>
      </c>
      <c r="E8">
        <f t="shared" si="2"/>
        <v>400</v>
      </c>
      <c r="G8">
        <f t="shared" si="0"/>
        <v>400</v>
      </c>
      <c r="H8">
        <f t="shared" si="3"/>
        <v>400</v>
      </c>
      <c r="I8">
        <f t="shared" si="3"/>
        <v>400</v>
      </c>
      <c r="J8">
        <f t="shared" si="3"/>
        <v>400</v>
      </c>
    </row>
    <row r="9" spans="2:10" x14ac:dyDescent="0.25">
      <c r="B9" s="34" t="s">
        <v>99</v>
      </c>
      <c r="C9">
        <v>3</v>
      </c>
      <c r="D9">
        <v>50</v>
      </c>
      <c r="E9">
        <f t="shared" si="2"/>
        <v>150</v>
      </c>
      <c r="G9">
        <f t="shared" si="0"/>
        <v>150</v>
      </c>
      <c r="H9">
        <f t="shared" si="3"/>
        <v>150</v>
      </c>
      <c r="I9">
        <f t="shared" si="3"/>
        <v>150</v>
      </c>
      <c r="J9">
        <f t="shared" si="3"/>
        <v>150</v>
      </c>
    </row>
    <row r="10" spans="2:10" x14ac:dyDescent="0.25">
      <c r="B10" s="34" t="s">
        <v>97</v>
      </c>
      <c r="C10">
        <v>2</v>
      </c>
      <c r="D10">
        <v>2350</v>
      </c>
      <c r="E10">
        <f t="shared" si="2"/>
        <v>4700</v>
      </c>
      <c r="G10">
        <f t="shared" si="0"/>
        <v>4700</v>
      </c>
      <c r="H10">
        <f t="shared" si="3"/>
        <v>4700</v>
      </c>
      <c r="I10">
        <f t="shared" si="3"/>
        <v>4700</v>
      </c>
      <c r="J10">
        <f t="shared" si="3"/>
        <v>4700</v>
      </c>
    </row>
    <row r="11" spans="2:10" x14ac:dyDescent="0.25">
      <c r="B11" s="34" t="s">
        <v>98</v>
      </c>
      <c r="C11">
        <v>2</v>
      </c>
      <c r="D11">
        <v>5000</v>
      </c>
      <c r="E11">
        <f t="shared" si="2"/>
        <v>10000</v>
      </c>
      <c r="G11">
        <f t="shared" si="0"/>
        <v>10000</v>
      </c>
      <c r="H11">
        <f t="shared" si="3"/>
        <v>10000</v>
      </c>
      <c r="I11">
        <f t="shared" si="3"/>
        <v>10000</v>
      </c>
      <c r="J11">
        <f t="shared" si="3"/>
        <v>10000</v>
      </c>
    </row>
    <row r="12" spans="2:10" x14ac:dyDescent="0.25">
      <c r="B12" s="34" t="s">
        <v>100</v>
      </c>
      <c r="C12">
        <v>2</v>
      </c>
      <c r="D12">
        <v>150</v>
      </c>
      <c r="E12">
        <f t="shared" si="2"/>
        <v>300</v>
      </c>
      <c r="G12">
        <f t="shared" si="0"/>
        <v>300</v>
      </c>
      <c r="H12">
        <f t="shared" si="3"/>
        <v>300</v>
      </c>
      <c r="I12">
        <f t="shared" si="3"/>
        <v>300</v>
      </c>
      <c r="J12">
        <f t="shared" si="3"/>
        <v>300</v>
      </c>
    </row>
    <row r="13" spans="2:10" x14ac:dyDescent="0.25">
      <c r="B13" s="34" t="s">
        <v>101</v>
      </c>
      <c r="C13">
        <v>4</v>
      </c>
      <c r="D13">
        <v>20</v>
      </c>
      <c r="E13">
        <f t="shared" si="2"/>
        <v>80</v>
      </c>
      <c r="G13">
        <f t="shared" si="0"/>
        <v>80</v>
      </c>
      <c r="H13">
        <f t="shared" si="3"/>
        <v>80</v>
      </c>
      <c r="I13">
        <f t="shared" si="3"/>
        <v>80</v>
      </c>
      <c r="J13">
        <f t="shared" si="3"/>
        <v>80</v>
      </c>
    </row>
    <row r="14" spans="2:10" x14ac:dyDescent="0.25">
      <c r="B14" s="34" t="s">
        <v>105</v>
      </c>
      <c r="C14">
        <v>4</v>
      </c>
      <c r="D14">
        <v>25</v>
      </c>
      <c r="E14">
        <f t="shared" si="2"/>
        <v>100</v>
      </c>
      <c r="G14">
        <f t="shared" si="0"/>
        <v>100</v>
      </c>
      <c r="H14">
        <f t="shared" si="3"/>
        <v>100</v>
      </c>
      <c r="I14">
        <f t="shared" si="3"/>
        <v>100</v>
      </c>
      <c r="J14">
        <f t="shared" si="3"/>
        <v>100</v>
      </c>
    </row>
    <row r="15" spans="2:10" x14ac:dyDescent="0.25">
      <c r="B15" s="34" t="s">
        <v>102</v>
      </c>
      <c r="C15">
        <v>1</v>
      </c>
      <c r="D15">
        <v>200</v>
      </c>
      <c r="E15">
        <f t="shared" si="2"/>
        <v>200</v>
      </c>
      <c r="G15">
        <f t="shared" si="0"/>
        <v>200</v>
      </c>
      <c r="H15">
        <f t="shared" si="3"/>
        <v>200</v>
      </c>
      <c r="I15">
        <f t="shared" si="3"/>
        <v>200</v>
      </c>
      <c r="J15">
        <f t="shared" si="3"/>
        <v>200</v>
      </c>
    </row>
    <row r="16" spans="2:10" x14ac:dyDescent="0.25">
      <c r="B16" s="34" t="s">
        <v>103</v>
      </c>
      <c r="C16">
        <v>1</v>
      </c>
      <c r="D16">
        <v>400</v>
      </c>
      <c r="E16">
        <f t="shared" si="2"/>
        <v>400</v>
      </c>
      <c r="G16">
        <f t="shared" si="0"/>
        <v>400</v>
      </c>
      <c r="H16">
        <f t="shared" si="3"/>
        <v>400</v>
      </c>
      <c r="I16">
        <f t="shared" si="3"/>
        <v>400</v>
      </c>
      <c r="J16">
        <f t="shared" si="3"/>
        <v>400</v>
      </c>
    </row>
    <row r="17" spans="2:11" x14ac:dyDescent="0.25">
      <c r="B17" s="34" t="s">
        <v>104</v>
      </c>
      <c r="E17">
        <v>50</v>
      </c>
      <c r="G17">
        <f t="shared" si="0"/>
        <v>50</v>
      </c>
      <c r="H17">
        <f t="shared" si="3"/>
        <v>50</v>
      </c>
      <c r="I17">
        <f t="shared" si="3"/>
        <v>50</v>
      </c>
      <c r="J17">
        <f t="shared" si="3"/>
        <v>50</v>
      </c>
    </row>
    <row r="18" spans="2:11" x14ac:dyDescent="0.25">
      <c r="B18" s="34" t="s">
        <v>106</v>
      </c>
      <c r="E18">
        <f>SUM(E4:E17)</f>
        <v>35695</v>
      </c>
      <c r="G18" s="19">
        <f t="shared" si="0"/>
        <v>35695</v>
      </c>
      <c r="H18" s="19">
        <f t="shared" ref="H18:J18" si="4">G18</f>
        <v>35695</v>
      </c>
      <c r="I18" s="19">
        <f t="shared" si="4"/>
        <v>35695</v>
      </c>
      <c r="J18" s="19">
        <f t="shared" si="4"/>
        <v>35695</v>
      </c>
    </row>
    <row r="19" spans="2:11" x14ac:dyDescent="0.25">
      <c r="B19" s="34" t="s">
        <v>127</v>
      </c>
      <c r="D19">
        <v>10</v>
      </c>
      <c r="E19" t="s">
        <v>128</v>
      </c>
      <c r="G19" s="19">
        <f>G18/$D$19</f>
        <v>3569.5</v>
      </c>
      <c r="H19" s="19">
        <f t="shared" ref="H19:J19" si="5">H18/$D$19</f>
        <v>3569.5</v>
      </c>
      <c r="I19" s="19">
        <f t="shared" si="5"/>
        <v>3569.5</v>
      </c>
      <c r="J19" s="19">
        <f t="shared" si="5"/>
        <v>3569.5</v>
      </c>
    </row>
    <row r="20" spans="2:11" x14ac:dyDescent="0.25">
      <c r="B20" s="34" t="s">
        <v>107</v>
      </c>
      <c r="C20">
        <v>12</v>
      </c>
      <c r="D20">
        <v>50</v>
      </c>
      <c r="E20">
        <f>D20*C20</f>
        <v>600</v>
      </c>
      <c r="G20" s="20">
        <f>E20</f>
        <v>600</v>
      </c>
      <c r="H20" s="20">
        <f>E20</f>
        <v>600</v>
      </c>
      <c r="I20" s="20">
        <f>E20</f>
        <v>600</v>
      </c>
      <c r="J20" s="20">
        <f>E20</f>
        <v>600</v>
      </c>
      <c r="K20" s="20"/>
    </row>
    <row r="21" spans="2:11" x14ac:dyDescent="0.25">
      <c r="B21" s="34" t="s">
        <v>110</v>
      </c>
      <c r="C21">
        <v>4</v>
      </c>
      <c r="D21">
        <v>8.75</v>
      </c>
      <c r="E21">
        <v>40</v>
      </c>
      <c r="G21" s="20">
        <f>$E$21*$D$21*$C$21*$E$22</f>
        <v>70000</v>
      </c>
      <c r="H21" s="20">
        <f t="shared" ref="H21:J21" si="6">$E$21*$D$21*$C$21*$E$22</f>
        <v>70000</v>
      </c>
      <c r="I21" s="20">
        <f t="shared" si="6"/>
        <v>70000</v>
      </c>
      <c r="J21" s="20">
        <f t="shared" si="6"/>
        <v>70000</v>
      </c>
    </row>
    <row r="22" spans="2:11" x14ac:dyDescent="0.25">
      <c r="B22" s="34" t="s">
        <v>111</v>
      </c>
      <c r="E22">
        <v>50</v>
      </c>
      <c r="G22" s="20"/>
      <c r="H22" s="20"/>
      <c r="I22" s="20"/>
      <c r="J22" s="20"/>
    </row>
    <row r="23" spans="2:11" x14ac:dyDescent="0.25">
      <c r="B23" s="31" t="s">
        <v>108</v>
      </c>
      <c r="G23" s="20">
        <f>SUM(G24:G27)</f>
        <v>18818</v>
      </c>
      <c r="H23" s="20">
        <f t="shared" ref="H23:J23" si="7">SUM(H24:H27)</f>
        <v>18818</v>
      </c>
      <c r="I23" s="20">
        <f t="shared" si="7"/>
        <v>18818</v>
      </c>
      <c r="J23" s="20">
        <f t="shared" si="7"/>
        <v>18818</v>
      </c>
    </row>
    <row r="24" spans="2:11" x14ac:dyDescent="0.25">
      <c r="B24" s="34" t="s">
        <v>122</v>
      </c>
      <c r="D24">
        <f>50*3.78</f>
        <v>189</v>
      </c>
      <c r="G24">
        <f>$D$24*52</f>
        <v>9828</v>
      </c>
      <c r="H24">
        <f>$D$24*52</f>
        <v>9828</v>
      </c>
      <c r="I24">
        <f>$D$24*52</f>
        <v>9828</v>
      </c>
      <c r="J24">
        <f>$D$24*52</f>
        <v>9828</v>
      </c>
    </row>
    <row r="25" spans="2:11" x14ac:dyDescent="0.25">
      <c r="B25" s="34" t="s">
        <v>123</v>
      </c>
      <c r="D25">
        <v>160</v>
      </c>
      <c r="G25">
        <f>$D$25*52</f>
        <v>8320</v>
      </c>
      <c r="H25">
        <f t="shared" ref="H25:J25" si="8">$D$25*52</f>
        <v>8320</v>
      </c>
      <c r="I25">
        <f t="shared" si="8"/>
        <v>8320</v>
      </c>
      <c r="J25">
        <f t="shared" si="8"/>
        <v>8320</v>
      </c>
    </row>
    <row r="26" spans="2:11" x14ac:dyDescent="0.25">
      <c r="B26" s="34" t="s">
        <v>124</v>
      </c>
      <c r="D26">
        <v>10</v>
      </c>
      <c r="G26" s="20">
        <f>$D$26*52</f>
        <v>520</v>
      </c>
      <c r="H26" s="20">
        <f t="shared" ref="H26:J26" si="9">$D$26*52</f>
        <v>520</v>
      </c>
      <c r="I26" s="20">
        <f t="shared" si="9"/>
        <v>520</v>
      </c>
      <c r="J26" s="20">
        <f t="shared" si="9"/>
        <v>520</v>
      </c>
    </row>
    <row r="27" spans="2:11" x14ac:dyDescent="0.25">
      <c r="B27" s="34" t="s">
        <v>109</v>
      </c>
      <c r="D27">
        <v>150</v>
      </c>
      <c r="G27" s="35">
        <f>$D$27</f>
        <v>150</v>
      </c>
      <c r="H27" s="35">
        <f t="shared" ref="H27:J27" si="10">$D$27</f>
        <v>150</v>
      </c>
      <c r="I27" s="35">
        <f t="shared" si="10"/>
        <v>150</v>
      </c>
      <c r="J27" s="35">
        <f t="shared" si="10"/>
        <v>150</v>
      </c>
    </row>
    <row r="28" spans="2:11" x14ac:dyDescent="0.25">
      <c r="B28" s="34" t="s">
        <v>112</v>
      </c>
      <c r="G28" s="35">
        <f>SUM(G29:G33)</f>
        <v>139000</v>
      </c>
      <c r="H28" s="35">
        <f t="shared" ref="H28:J28" si="11">SUM(H29:H33)</f>
        <v>145950</v>
      </c>
      <c r="I28" s="35">
        <f t="shared" si="11"/>
        <v>153247.5</v>
      </c>
      <c r="J28" s="35">
        <f t="shared" si="11"/>
        <v>160909.875</v>
      </c>
    </row>
    <row r="29" spans="2:11" x14ac:dyDescent="0.25">
      <c r="B29" s="34" t="s">
        <v>113</v>
      </c>
      <c r="C29">
        <v>120</v>
      </c>
      <c r="D29">
        <v>75000</v>
      </c>
      <c r="E29">
        <f>D29</f>
        <v>75000</v>
      </c>
      <c r="G29" s="35">
        <f>E29</f>
        <v>75000</v>
      </c>
      <c r="H29" s="35">
        <f>G29*(1+$D$34)</f>
        <v>78750</v>
      </c>
      <c r="I29" s="35">
        <f t="shared" ref="I29:J29" si="12">H29*(1+$D$34)</f>
        <v>82687.5</v>
      </c>
      <c r="J29" s="35">
        <f t="shared" si="12"/>
        <v>86821.875</v>
      </c>
    </row>
    <row r="30" spans="2:11" x14ac:dyDescent="0.25">
      <c r="B30" s="34" t="s">
        <v>160</v>
      </c>
      <c r="C30">
        <f>3*20</f>
        <v>60</v>
      </c>
      <c r="D30">
        <f>150</f>
        <v>150</v>
      </c>
      <c r="E30">
        <f t="shared" ref="E30:E31" si="13">D30*C30</f>
        <v>9000</v>
      </c>
      <c r="G30" s="35">
        <f t="shared" ref="G30:G33" si="14">E30</f>
        <v>9000</v>
      </c>
      <c r="H30" s="35">
        <f t="shared" ref="H30:J30" si="15">G30*(1+$D$34)</f>
        <v>9450</v>
      </c>
      <c r="I30" s="35">
        <f t="shared" si="15"/>
        <v>9922.5</v>
      </c>
      <c r="J30" s="35">
        <f t="shared" si="15"/>
        <v>10418.625</v>
      </c>
    </row>
    <row r="31" spans="2:11" x14ac:dyDescent="0.25">
      <c r="B31" s="34" t="s">
        <v>114</v>
      </c>
      <c r="C31">
        <v>30</v>
      </c>
      <c r="D31">
        <f>40*25</f>
        <v>1000</v>
      </c>
      <c r="E31">
        <f t="shared" si="13"/>
        <v>30000</v>
      </c>
      <c r="G31" s="35">
        <f t="shared" si="14"/>
        <v>30000</v>
      </c>
      <c r="H31" s="35">
        <f t="shared" ref="H31:J31" si="16">G31*(1+$D$34)</f>
        <v>31500</v>
      </c>
      <c r="I31" s="35">
        <f t="shared" si="16"/>
        <v>33075</v>
      </c>
      <c r="J31" s="35">
        <f t="shared" si="16"/>
        <v>34728.75</v>
      </c>
    </row>
    <row r="32" spans="2:11" x14ac:dyDescent="0.25">
      <c r="B32" s="34" t="s">
        <v>133</v>
      </c>
      <c r="C32">
        <v>50</v>
      </c>
      <c r="D32">
        <v>50</v>
      </c>
      <c r="E32">
        <f>D32*C32</f>
        <v>2500</v>
      </c>
      <c r="G32" s="35">
        <f>E32</f>
        <v>2500</v>
      </c>
      <c r="H32" s="35">
        <f>G32*(1+$D$34)</f>
        <v>2625</v>
      </c>
      <c r="I32" s="35">
        <f>H32*(1+$D$34)</f>
        <v>2756.25</v>
      </c>
      <c r="J32" s="35">
        <f>I32*(1+$D$34)</f>
        <v>2894.0625</v>
      </c>
    </row>
    <row r="33" spans="2:10" ht="14.25" customHeight="1" x14ac:dyDescent="0.25">
      <c r="B33" s="34" t="s">
        <v>115</v>
      </c>
      <c r="C33">
        <f>50</f>
        <v>50</v>
      </c>
      <c r="D33">
        <f>D43+150</f>
        <v>450</v>
      </c>
      <c r="E33">
        <f>D33*C33</f>
        <v>22500</v>
      </c>
      <c r="G33" s="35">
        <f t="shared" si="14"/>
        <v>22500</v>
      </c>
      <c r="H33" s="35">
        <f t="shared" ref="H33:J33" si="17">G33*(1+$D$34)</f>
        <v>23625</v>
      </c>
      <c r="I33" s="35">
        <f t="shared" si="17"/>
        <v>24806.25</v>
      </c>
      <c r="J33" s="35">
        <f t="shared" si="17"/>
        <v>26046.5625</v>
      </c>
    </row>
    <row r="34" spans="2:10" x14ac:dyDescent="0.25">
      <c r="B34" s="34" t="s">
        <v>116</v>
      </c>
      <c r="D34" s="36">
        <v>0.05</v>
      </c>
      <c r="G34" s="35"/>
      <c r="H34" s="35"/>
      <c r="I34" s="35"/>
      <c r="J34" s="35"/>
    </row>
    <row r="35" spans="2:10" s="37" customFormat="1" x14ac:dyDescent="0.25">
      <c r="B35" s="34" t="s">
        <v>87</v>
      </c>
      <c r="C35"/>
      <c r="D35"/>
      <c r="G35" s="35">
        <f>Mortgage!F13</f>
        <v>32359.370684761619</v>
      </c>
      <c r="H35" s="19">
        <f>Mortgage!F27</f>
        <v>24166.399658532137</v>
      </c>
      <c r="I35" s="19">
        <f>Mortgage!F41</f>
        <v>15381.158094363724</v>
      </c>
      <c r="J35" s="19">
        <f>Mortgage!F55</f>
        <v>5960.8307071800173</v>
      </c>
    </row>
    <row r="36" spans="2:10" x14ac:dyDescent="0.25">
      <c r="B36" s="34" t="s">
        <v>117</v>
      </c>
      <c r="D36" s="36">
        <v>0.03</v>
      </c>
      <c r="G36">
        <f>Mortgage!D14</f>
        <v>2557.9521461703953</v>
      </c>
      <c r="H36">
        <f>Mortgage!D28</f>
        <v>2005.6104351792883</v>
      </c>
      <c r="I36">
        <f>Mortgage!D42</f>
        <v>1413.3398972403627</v>
      </c>
      <c r="J36">
        <f>Mortgage!D56</f>
        <v>778.25407422506601</v>
      </c>
    </row>
    <row r="37" spans="2:10" x14ac:dyDescent="0.25">
      <c r="B37" s="34" t="s">
        <v>118</v>
      </c>
      <c r="G37">
        <f>Mortgage!C14</f>
        <v>7640.6293152383769</v>
      </c>
      <c r="H37">
        <f>Mortgage!C28</f>
        <v>8192.971026229483</v>
      </c>
      <c r="I37">
        <f>Mortgage!C42</f>
        <v>8785.2415641684092</v>
      </c>
      <c r="J37">
        <f>Mortgage!C56</f>
        <v>9420.3273871837046</v>
      </c>
    </row>
    <row r="38" spans="2:10" x14ac:dyDescent="0.25">
      <c r="B38" s="34" t="s">
        <v>126</v>
      </c>
      <c r="D38" s="37">
        <v>7</v>
      </c>
      <c r="E38" t="s">
        <v>130</v>
      </c>
      <c r="G38" s="20">
        <f>G28/364*$D$38</f>
        <v>2673.0769230769229</v>
      </c>
      <c r="H38" s="20">
        <f>H28/364*$D$38</f>
        <v>2806.7307692307691</v>
      </c>
      <c r="I38" s="20">
        <f>I28/364*$D$38</f>
        <v>2947.0673076923076</v>
      </c>
      <c r="J38" s="20">
        <f>J28/364*$D$38</f>
        <v>3094.4206730769229</v>
      </c>
    </row>
    <row r="39" spans="2:10" x14ac:dyDescent="0.25">
      <c r="B39" s="34" t="s">
        <v>129</v>
      </c>
      <c r="D39">
        <v>14</v>
      </c>
      <c r="E39" t="s">
        <v>130</v>
      </c>
      <c r="G39">
        <f>G40/364*$D$39</f>
        <v>809.23076923076928</v>
      </c>
      <c r="H39">
        <f>H40/364*$D$39</f>
        <v>849.69230769230774</v>
      </c>
      <c r="I39">
        <f>I40/364*$D$39</f>
        <v>892.176923076923</v>
      </c>
      <c r="J39">
        <f>J40/364*$D$39</f>
        <v>936.78576923076923</v>
      </c>
    </row>
    <row r="40" spans="2:10" x14ac:dyDescent="0.25">
      <c r="B40" s="34" t="s">
        <v>121</v>
      </c>
      <c r="G40">
        <f>SUM(G41:G43)</f>
        <v>21040</v>
      </c>
      <c r="H40">
        <f t="shared" ref="H40:J40" si="18">SUM(H41:H43)</f>
        <v>22092</v>
      </c>
      <c r="I40">
        <f t="shared" si="18"/>
        <v>23196.6</v>
      </c>
      <c r="J40">
        <f t="shared" si="18"/>
        <v>24356.43</v>
      </c>
    </row>
    <row r="41" spans="2:10" x14ac:dyDescent="0.25">
      <c r="B41" s="34" t="s">
        <v>131</v>
      </c>
      <c r="C41">
        <v>2000</v>
      </c>
      <c r="D41">
        <v>0.3</v>
      </c>
      <c r="E41">
        <f>C41*D41</f>
        <v>600</v>
      </c>
      <c r="G41">
        <f>E41*4</f>
        <v>2400</v>
      </c>
      <c r="H41">
        <f>G41*(1+$D$34)</f>
        <v>2520</v>
      </c>
      <c r="I41">
        <f t="shared" ref="I41:J41" si="19">H41*(1+$D$34)</f>
        <v>2646</v>
      </c>
      <c r="J41">
        <f t="shared" si="19"/>
        <v>2778.3</v>
      </c>
    </row>
    <row r="42" spans="2:10" x14ac:dyDescent="0.25">
      <c r="B42" s="34" t="s">
        <v>132</v>
      </c>
      <c r="C42" s="42">
        <f>1/5</f>
        <v>0.2</v>
      </c>
      <c r="D42">
        <v>35</v>
      </c>
      <c r="E42">
        <f>D42*C42</f>
        <v>7</v>
      </c>
      <c r="G42">
        <f>E42*((120+C30+C31+C33)*2)</f>
        <v>3640</v>
      </c>
      <c r="H42">
        <f t="shared" ref="H42:J43" si="20">G42*(1+$D$34)</f>
        <v>3822</v>
      </c>
      <c r="I42">
        <f t="shared" si="20"/>
        <v>4013.1000000000004</v>
      </c>
      <c r="J42">
        <f t="shared" si="20"/>
        <v>4213.7550000000001</v>
      </c>
    </row>
    <row r="43" spans="2:10" x14ac:dyDescent="0.25">
      <c r="B43" s="34" t="s">
        <v>159</v>
      </c>
      <c r="C43">
        <f>C33</f>
        <v>50</v>
      </c>
      <c r="D43">
        <v>300</v>
      </c>
      <c r="E43">
        <f>D43*C43</f>
        <v>15000</v>
      </c>
      <c r="G43">
        <f>D43*C43</f>
        <v>15000</v>
      </c>
      <c r="H43">
        <f t="shared" si="20"/>
        <v>15750</v>
      </c>
      <c r="I43">
        <f t="shared" si="20"/>
        <v>16537.5</v>
      </c>
      <c r="J43">
        <f t="shared" si="20"/>
        <v>17364.375</v>
      </c>
    </row>
    <row r="44" spans="2:10" x14ac:dyDescent="0.25">
      <c r="B44" s="34" t="s">
        <v>134</v>
      </c>
      <c r="D44" s="36">
        <v>0.15</v>
      </c>
    </row>
    <row r="45" spans="2:10" x14ac:dyDescent="0.25">
      <c r="B45" s="34" t="s">
        <v>136</v>
      </c>
      <c r="D45" s="36">
        <v>0.1</v>
      </c>
    </row>
    <row r="46" spans="2:10" x14ac:dyDescent="0.25">
      <c r="B46" s="34" t="s">
        <v>78</v>
      </c>
      <c r="G46">
        <v>10000</v>
      </c>
      <c r="H46">
        <v>10000</v>
      </c>
      <c r="I46">
        <v>10000</v>
      </c>
      <c r="J46">
        <v>10000</v>
      </c>
    </row>
    <row r="47" spans="2:10" x14ac:dyDescent="0.25">
      <c r="B47" s="34"/>
      <c r="D47" s="9"/>
      <c r="E47" s="9"/>
      <c r="F47" s="9"/>
    </row>
    <row r="48" spans="2:10" x14ac:dyDescent="0.25">
      <c r="B48" s="34"/>
    </row>
    <row r="50" spans="2:10" x14ac:dyDescent="0.25">
      <c r="B50" s="5" t="s">
        <v>57</v>
      </c>
      <c r="C50" s="5"/>
    </row>
    <row r="51" spans="2:10" x14ac:dyDescent="0.25">
      <c r="B51" t="s">
        <v>120</v>
      </c>
      <c r="G51" s="10">
        <f>SUM(G52:G56)</f>
        <v>139000</v>
      </c>
      <c r="H51" s="10">
        <f t="shared" ref="H51:J51" si="21">SUM(H52:H56)</f>
        <v>145950</v>
      </c>
      <c r="I51" s="10">
        <f t="shared" si="21"/>
        <v>153247.5</v>
      </c>
      <c r="J51" s="10">
        <f t="shared" si="21"/>
        <v>160909.875</v>
      </c>
    </row>
    <row r="52" spans="2:10" x14ac:dyDescent="0.25">
      <c r="B52" s="41" t="str">
        <f>B29</f>
        <v>Large</v>
      </c>
      <c r="G52" s="10">
        <f>G29</f>
        <v>75000</v>
      </c>
      <c r="H52" s="10">
        <f t="shared" ref="H52:J52" si="22">H29</f>
        <v>78750</v>
      </c>
      <c r="I52" s="10">
        <f t="shared" si="22"/>
        <v>82687.5</v>
      </c>
      <c r="J52" s="10">
        <f t="shared" si="22"/>
        <v>86821.875</v>
      </c>
    </row>
    <row r="53" spans="2:10" x14ac:dyDescent="0.25">
      <c r="B53" s="41" t="str">
        <f>B30</f>
        <v>Complexes</v>
      </c>
      <c r="G53" s="10">
        <f t="shared" ref="G53:J53" si="23">G30</f>
        <v>9000</v>
      </c>
      <c r="H53" s="10">
        <f t="shared" si="23"/>
        <v>9450</v>
      </c>
      <c r="I53" s="10">
        <f t="shared" si="23"/>
        <v>9922.5</v>
      </c>
      <c r="J53" s="10">
        <f t="shared" si="23"/>
        <v>10418.625</v>
      </c>
    </row>
    <row r="54" spans="2:10" x14ac:dyDescent="0.25">
      <c r="B54" s="41" t="str">
        <f>B31</f>
        <v>Houses</v>
      </c>
      <c r="G54" s="10">
        <f t="shared" ref="G54:J54" si="24">G31</f>
        <v>30000</v>
      </c>
      <c r="H54" s="10">
        <f t="shared" si="24"/>
        <v>31500</v>
      </c>
      <c r="I54" s="10">
        <f t="shared" si="24"/>
        <v>33075</v>
      </c>
      <c r="J54" s="10">
        <f t="shared" si="24"/>
        <v>34728.75</v>
      </c>
    </row>
    <row r="55" spans="2:10" x14ac:dyDescent="0.25">
      <c r="B55" s="41" t="s">
        <v>133</v>
      </c>
      <c r="G55" s="10">
        <f>G32</f>
        <v>2500</v>
      </c>
      <c r="H55" s="10">
        <f>H32</f>
        <v>2625</v>
      </c>
      <c r="I55" s="10">
        <f>I32</f>
        <v>2756.25</v>
      </c>
      <c r="J55" s="10">
        <f>J32</f>
        <v>2894.0625</v>
      </c>
    </row>
    <row r="56" spans="2:10" x14ac:dyDescent="0.25">
      <c r="B56" s="41" t="str">
        <f t="shared" ref="B56" si="25">B33</f>
        <v>One time contract</v>
      </c>
      <c r="G56" s="10">
        <f t="shared" ref="G56:J56" si="26">G33</f>
        <v>22500</v>
      </c>
      <c r="H56" s="10">
        <f t="shared" si="26"/>
        <v>23625</v>
      </c>
      <c r="I56" s="10">
        <f t="shared" si="26"/>
        <v>24806.25</v>
      </c>
      <c r="J56" s="10">
        <f t="shared" si="26"/>
        <v>26046.5625</v>
      </c>
    </row>
    <row r="57" spans="2:10" x14ac:dyDescent="0.25">
      <c r="B57" t="s">
        <v>121</v>
      </c>
      <c r="G57" s="11">
        <f>G40</f>
        <v>21040</v>
      </c>
      <c r="H57" s="11">
        <f>H40</f>
        <v>22092</v>
      </c>
      <c r="I57" s="11">
        <f>I40</f>
        <v>23196.6</v>
      </c>
      <c r="J57" s="11">
        <f>J40</f>
        <v>24356.43</v>
      </c>
    </row>
    <row r="58" spans="2:10" x14ac:dyDescent="0.25">
      <c r="B58" t="s">
        <v>58</v>
      </c>
      <c r="G58" s="10">
        <f>G51-G57</f>
        <v>117960</v>
      </c>
      <c r="H58" s="10">
        <f t="shared" ref="H58:J58" si="27">H51-H57</f>
        <v>123858</v>
      </c>
      <c r="I58" s="10">
        <f t="shared" si="27"/>
        <v>130050.9</v>
      </c>
      <c r="J58" s="10">
        <f t="shared" si="27"/>
        <v>136553.44500000001</v>
      </c>
    </row>
    <row r="59" spans="2:10" x14ac:dyDescent="0.25">
      <c r="G59" s="10"/>
      <c r="H59" s="10"/>
      <c r="I59" s="10"/>
      <c r="J59" s="10"/>
    </row>
    <row r="60" spans="2:10" x14ac:dyDescent="0.25">
      <c r="B60" t="s">
        <v>59</v>
      </c>
      <c r="G60" s="10"/>
      <c r="H60" s="10"/>
      <c r="I60" s="10"/>
      <c r="J60" s="10"/>
    </row>
    <row r="61" spans="2:10" x14ac:dyDescent="0.25">
      <c r="B61" s="13" t="str">
        <f>B24</f>
        <v xml:space="preserve">Gas can   </v>
      </c>
      <c r="G61" s="10">
        <f>G24</f>
        <v>9828</v>
      </c>
      <c r="H61" s="10">
        <f t="shared" ref="H61:J61" si="28">H24</f>
        <v>9828</v>
      </c>
      <c r="I61" s="10">
        <f t="shared" si="28"/>
        <v>9828</v>
      </c>
      <c r="J61" s="10">
        <f t="shared" si="28"/>
        <v>9828</v>
      </c>
    </row>
    <row r="62" spans="2:10" x14ac:dyDescent="0.25">
      <c r="B62" s="13" t="str">
        <f>B25</f>
        <v>Gas in truck</v>
      </c>
      <c r="G62" s="10">
        <f>G25</f>
        <v>8320</v>
      </c>
      <c r="H62" s="10">
        <f t="shared" ref="H62:J64" si="29">H25</f>
        <v>8320</v>
      </c>
      <c r="I62" s="10">
        <f t="shared" si="29"/>
        <v>8320</v>
      </c>
      <c r="J62" s="10">
        <f t="shared" si="29"/>
        <v>8320</v>
      </c>
    </row>
    <row r="63" spans="2:10" x14ac:dyDescent="0.25">
      <c r="B63" s="13" t="str">
        <f>B26</f>
        <v xml:space="preserve">Oil for gas </v>
      </c>
      <c r="G63" s="10">
        <f>G26</f>
        <v>520</v>
      </c>
      <c r="H63" s="10">
        <f t="shared" si="29"/>
        <v>520</v>
      </c>
      <c r="I63" s="10">
        <f t="shared" si="29"/>
        <v>520</v>
      </c>
      <c r="J63" s="10">
        <f t="shared" si="29"/>
        <v>520</v>
      </c>
    </row>
    <row r="64" spans="2:10" x14ac:dyDescent="0.25">
      <c r="B64" s="13" t="str">
        <f>B27</f>
        <v>Maintenince Expense</v>
      </c>
      <c r="G64" s="10">
        <f>G27</f>
        <v>150</v>
      </c>
      <c r="H64" s="10">
        <f t="shared" si="29"/>
        <v>150</v>
      </c>
      <c r="I64" s="10">
        <f t="shared" si="29"/>
        <v>150</v>
      </c>
      <c r="J64" s="10">
        <f t="shared" si="29"/>
        <v>150</v>
      </c>
    </row>
    <row r="65" spans="2:10" x14ac:dyDescent="0.25">
      <c r="B65" s="13" t="s">
        <v>125</v>
      </c>
      <c r="G65" s="10">
        <f>G21</f>
        <v>70000</v>
      </c>
      <c r="H65" s="10">
        <f t="shared" ref="H65:J65" si="30">H21</f>
        <v>70000</v>
      </c>
      <c r="I65" s="10">
        <f t="shared" si="30"/>
        <v>70000</v>
      </c>
      <c r="J65" s="10">
        <f t="shared" si="30"/>
        <v>70000</v>
      </c>
    </row>
    <row r="66" spans="2:10" x14ac:dyDescent="0.25">
      <c r="B66" s="13" t="s">
        <v>107</v>
      </c>
      <c r="G66" s="10">
        <f>G20</f>
        <v>600</v>
      </c>
      <c r="H66" s="10">
        <f>H20</f>
        <v>600</v>
      </c>
      <c r="I66" s="10">
        <f>I20</f>
        <v>600</v>
      </c>
      <c r="J66" s="10">
        <f>J20</f>
        <v>600</v>
      </c>
    </row>
    <row r="67" spans="2:10" x14ac:dyDescent="0.25">
      <c r="B67" t="s">
        <v>170</v>
      </c>
      <c r="G67" s="57">
        <f>G58-(SUM(G61:G66))</f>
        <v>28542</v>
      </c>
      <c r="H67" s="57">
        <f t="shared" ref="H67:J67" si="31">H58-(SUM(H61:H66))</f>
        <v>34440</v>
      </c>
      <c r="I67" s="57">
        <f t="shared" si="31"/>
        <v>40632.899999999994</v>
      </c>
      <c r="J67" s="57">
        <f t="shared" si="31"/>
        <v>47135.445000000007</v>
      </c>
    </row>
    <row r="68" spans="2:10" x14ac:dyDescent="0.25">
      <c r="G68" s="10"/>
      <c r="H68" s="10"/>
      <c r="I68" s="10"/>
      <c r="J68" s="10"/>
    </row>
    <row r="69" spans="2:10" x14ac:dyDescent="0.25">
      <c r="B69" s="13" t="s">
        <v>88</v>
      </c>
      <c r="G69" s="58">
        <f>G19</f>
        <v>3569.5</v>
      </c>
      <c r="H69" s="58">
        <f>H19</f>
        <v>3569.5</v>
      </c>
      <c r="I69" s="58">
        <f>I19</f>
        <v>3569.5</v>
      </c>
      <c r="J69" s="58">
        <f>J19</f>
        <v>3569.5</v>
      </c>
    </row>
    <row r="70" spans="2:10" x14ac:dyDescent="0.25">
      <c r="B70" t="s">
        <v>60</v>
      </c>
      <c r="G70" s="58">
        <f>G36</f>
        <v>2557.9521461703953</v>
      </c>
      <c r="H70" s="58">
        <f>H36</f>
        <v>2005.6104351792883</v>
      </c>
      <c r="I70" s="58">
        <f>I36</f>
        <v>1413.3398972403627</v>
      </c>
      <c r="J70" s="58">
        <f>J36</f>
        <v>778.25407422506601</v>
      </c>
    </row>
    <row r="71" spans="2:10" x14ac:dyDescent="0.25">
      <c r="B71" t="s">
        <v>61</v>
      </c>
      <c r="G71" s="14">
        <f>G97*(1+$D$45)</f>
        <v>0</v>
      </c>
      <c r="H71" s="14">
        <f t="shared" ref="H71:I71" si="32">H97*(1+$D$45)</f>
        <v>0</v>
      </c>
      <c r="I71" s="14">
        <f t="shared" si="32"/>
        <v>0</v>
      </c>
      <c r="J71" s="14">
        <f>J97*($D$45)</f>
        <v>412.9915250962755</v>
      </c>
    </row>
    <row r="72" spans="2:10" x14ac:dyDescent="0.25">
      <c r="B72" t="s">
        <v>62</v>
      </c>
      <c r="G72" s="10">
        <f>G67-G70-G71-G69</f>
        <v>22414.547853829605</v>
      </c>
      <c r="H72" s="10">
        <f t="shared" ref="H72:J72" si="33">H67-H70-H71-H69</f>
        <v>28864.889564820711</v>
      </c>
      <c r="I72" s="10">
        <f t="shared" si="33"/>
        <v>35650.060102759635</v>
      </c>
      <c r="J72" s="10">
        <f t="shared" si="33"/>
        <v>42374.69940067867</v>
      </c>
    </row>
    <row r="73" spans="2:10" x14ac:dyDescent="0.25">
      <c r="G73" s="10"/>
      <c r="H73" s="10"/>
      <c r="I73" s="10"/>
      <c r="J73" s="10"/>
    </row>
    <row r="74" spans="2:10" x14ac:dyDescent="0.25">
      <c r="B74" t="s">
        <v>63</v>
      </c>
      <c r="G74" s="12">
        <f>G72*$D$44</f>
        <v>3362.1821780744408</v>
      </c>
      <c r="H74" s="12">
        <f>H72*$D$44</f>
        <v>4329.7334347231063</v>
      </c>
      <c r="I74" s="12">
        <f>I72*$D$44</f>
        <v>5347.5090154139452</v>
      </c>
      <c r="J74" s="12">
        <f>J72*$D$44</f>
        <v>6356.2049101018001</v>
      </c>
    </row>
    <row r="75" spans="2:10" x14ac:dyDescent="0.25">
      <c r="G75" s="10"/>
      <c r="H75" s="10"/>
      <c r="I75" s="10"/>
      <c r="J75" s="10"/>
    </row>
    <row r="76" spans="2:10" x14ac:dyDescent="0.25">
      <c r="B76" t="s">
        <v>64</v>
      </c>
      <c r="G76" s="10">
        <f>G72-G74</f>
        <v>19052.365675755165</v>
      </c>
      <c r="H76" s="10">
        <f>H72-H74</f>
        <v>24535.156130097603</v>
      </c>
      <c r="I76" s="10">
        <f>I72-I74</f>
        <v>30302.551087345688</v>
      </c>
      <c r="J76" s="10">
        <f>J72-J74</f>
        <v>36018.494490576872</v>
      </c>
    </row>
    <row r="78" spans="2:10" x14ac:dyDescent="0.25">
      <c r="B78" s="5" t="s">
        <v>65</v>
      </c>
    </row>
    <row r="80" spans="2:10" x14ac:dyDescent="0.25">
      <c r="B80" t="s">
        <v>66</v>
      </c>
    </row>
    <row r="81" spans="2:10" x14ac:dyDescent="0.25">
      <c r="B81" s="13" t="s">
        <v>67</v>
      </c>
      <c r="F81" s="20"/>
      <c r="G81">
        <v>12833.372936812979</v>
      </c>
      <c r="H81">
        <v>9534.9943614966869</v>
      </c>
      <c r="I81">
        <v>5715.9201733555801</v>
      </c>
      <c r="J81">
        <v>5384.6153846153848</v>
      </c>
    </row>
    <row r="82" spans="2:10" x14ac:dyDescent="0.25">
      <c r="B82" s="13" t="s">
        <v>126</v>
      </c>
      <c r="G82" s="11">
        <f>G38</f>
        <v>2673.0769230769229</v>
      </c>
      <c r="H82" s="11">
        <f>H38</f>
        <v>2806.7307692307691</v>
      </c>
      <c r="I82" s="11">
        <f>I38</f>
        <v>2947.0673076923076</v>
      </c>
      <c r="J82" s="11">
        <f>J38</f>
        <v>3094.4206730769229</v>
      </c>
    </row>
    <row r="83" spans="2:10" x14ac:dyDescent="0.25">
      <c r="B83" s="13" t="s">
        <v>68</v>
      </c>
      <c r="G83" s="10">
        <f>SUM(G81:G82)</f>
        <v>15506.449859889901</v>
      </c>
      <c r="H83" s="10">
        <f>SUM(H81:H82)</f>
        <v>12341.725130727456</v>
      </c>
      <c r="I83" s="10">
        <f>SUM(I81:I82)</f>
        <v>8662.9874810478868</v>
      </c>
      <c r="J83" s="10">
        <f>SUM(J81:J82)</f>
        <v>8479.0360576923085</v>
      </c>
    </row>
    <row r="84" spans="2:10" x14ac:dyDescent="0.25">
      <c r="G84" s="10"/>
      <c r="H84" s="10"/>
      <c r="I84" s="10"/>
      <c r="J84" s="10"/>
    </row>
    <row r="85" spans="2:10" x14ac:dyDescent="0.25">
      <c r="B85" s="13" t="s">
        <v>69</v>
      </c>
      <c r="G85" s="10">
        <f>G18</f>
        <v>35695</v>
      </c>
      <c r="H85" s="10">
        <f>H18</f>
        <v>35695</v>
      </c>
      <c r="I85" s="10">
        <f>I18</f>
        <v>35695</v>
      </c>
      <c r="J85" s="10">
        <f>J18</f>
        <v>35695</v>
      </c>
    </row>
    <row r="86" spans="2:10" x14ac:dyDescent="0.25">
      <c r="B86" s="13" t="s">
        <v>70</v>
      </c>
      <c r="G86" s="11">
        <f>G19</f>
        <v>3569.5</v>
      </c>
      <c r="H86" s="11">
        <f>G86+$G$86</f>
        <v>7139</v>
      </c>
      <c r="I86" s="11">
        <f>H86+$G$86</f>
        <v>10708.5</v>
      </c>
      <c r="J86" s="11">
        <f>I86+$G$86</f>
        <v>14278</v>
      </c>
    </row>
    <row r="87" spans="2:10" x14ac:dyDescent="0.25">
      <c r="B87" s="15" t="s">
        <v>71</v>
      </c>
      <c r="G87" s="10">
        <f>G85-G86</f>
        <v>32125.5</v>
      </c>
      <c r="H87" s="10">
        <f>H85-H86</f>
        <v>28556</v>
      </c>
      <c r="I87" s="10">
        <f>I85-I86</f>
        <v>24986.5</v>
      </c>
      <c r="J87" s="10">
        <f>J85-J86</f>
        <v>21417</v>
      </c>
    </row>
    <row r="88" spans="2:10" x14ac:dyDescent="0.25">
      <c r="G88" s="10"/>
      <c r="H88" s="10"/>
      <c r="I88" s="10"/>
      <c r="J88" s="10"/>
    </row>
    <row r="89" spans="2:10" ht="15.75" thickBot="1" x14ac:dyDescent="0.3">
      <c r="B89" t="s">
        <v>72</v>
      </c>
      <c r="G89" s="16">
        <f>G83+G87</f>
        <v>47631.949859889901</v>
      </c>
      <c r="H89" s="16">
        <f>H83+H87</f>
        <v>40897.725130727456</v>
      </c>
      <c r="I89" s="16">
        <f>I83+I87</f>
        <v>33649.487481047887</v>
      </c>
      <c r="J89" s="16">
        <f>J83+J87</f>
        <v>29896.036057692309</v>
      </c>
    </row>
    <row r="90" spans="2:10" ht="15.75" thickTop="1" x14ac:dyDescent="0.25">
      <c r="G90" s="10"/>
      <c r="H90" s="10"/>
      <c r="I90" s="10"/>
      <c r="J90" s="10"/>
    </row>
    <row r="91" spans="2:10" x14ac:dyDescent="0.25">
      <c r="B91" s="5" t="s">
        <v>73</v>
      </c>
      <c r="G91" s="10"/>
      <c r="H91" s="10"/>
      <c r="I91" s="10"/>
      <c r="J91" s="10"/>
    </row>
    <row r="92" spans="2:10" x14ac:dyDescent="0.25">
      <c r="B92" s="8" t="s">
        <v>135</v>
      </c>
      <c r="G92" s="10">
        <f>G39</f>
        <v>809.23076923076928</v>
      </c>
      <c r="H92" s="10">
        <f>H39</f>
        <v>849.69230769230774</v>
      </c>
      <c r="I92" s="10">
        <f>I39</f>
        <v>892.176923076923</v>
      </c>
      <c r="J92" s="10">
        <f>J39</f>
        <v>936.78576923076923</v>
      </c>
    </row>
    <row r="93" spans="2:10" x14ac:dyDescent="0.25">
      <c r="B93" s="17" t="s">
        <v>74</v>
      </c>
      <c r="G93" s="11">
        <f>G74</f>
        <v>3362.1821780744408</v>
      </c>
      <c r="H93" s="11">
        <f>H74</f>
        <v>4329.7334347231063</v>
      </c>
      <c r="I93" s="11">
        <f>I74</f>
        <v>5347.5090154139452</v>
      </c>
      <c r="J93" s="11">
        <f>J74</f>
        <v>6356.2049101018001</v>
      </c>
    </row>
    <row r="94" spans="2:10" x14ac:dyDescent="0.25">
      <c r="B94" t="s">
        <v>75</v>
      </c>
      <c r="G94" s="10">
        <f>SUM(G92:G93)</f>
        <v>4171.4129473052099</v>
      </c>
      <c r="H94" s="10">
        <f>SUM(H92:H93)</f>
        <v>5179.4257424154139</v>
      </c>
      <c r="I94" s="10">
        <f>SUM(I92:I93)</f>
        <v>6239.6859384908685</v>
      </c>
      <c r="J94" s="10">
        <f>SUM(J92:J93)</f>
        <v>7292.990679332569</v>
      </c>
    </row>
    <row r="95" spans="2:10" x14ac:dyDescent="0.25">
      <c r="G95" s="10"/>
      <c r="H95" s="10"/>
      <c r="I95" s="10"/>
      <c r="J95" s="10"/>
    </row>
    <row r="96" spans="2:10" x14ac:dyDescent="0.25">
      <c r="B96" t="s">
        <v>76</v>
      </c>
      <c r="G96" s="10">
        <f>G35</f>
        <v>32359.370684761619</v>
      </c>
      <c r="H96" s="10">
        <f>H35</f>
        <v>24166.399658532137</v>
      </c>
      <c r="I96" s="10">
        <f>I35</f>
        <v>15381.158094363724</v>
      </c>
      <c r="J96" s="10">
        <f>J35</f>
        <v>5960.8307071800173</v>
      </c>
    </row>
    <row r="97" spans="2:10" x14ac:dyDescent="0.25">
      <c r="B97" t="s">
        <v>77</v>
      </c>
      <c r="G97" s="10"/>
      <c r="H97" s="10"/>
      <c r="I97" s="10"/>
      <c r="J97" s="10">
        <v>4129.9152509627547</v>
      </c>
    </row>
    <row r="98" spans="2:10" x14ac:dyDescent="0.25">
      <c r="G98" s="10"/>
      <c r="H98" s="10"/>
      <c r="I98" s="10"/>
      <c r="J98" s="10"/>
    </row>
    <row r="99" spans="2:10" x14ac:dyDescent="0.25">
      <c r="B99" t="s">
        <v>78</v>
      </c>
      <c r="G99" s="10">
        <f>G46</f>
        <v>10000</v>
      </c>
      <c r="H99" s="10">
        <f>H46</f>
        <v>10000</v>
      </c>
      <c r="I99" s="10">
        <f>I46</f>
        <v>10000</v>
      </c>
      <c r="J99" s="10">
        <f>J46</f>
        <v>10000</v>
      </c>
    </row>
    <row r="100" spans="2:10" x14ac:dyDescent="0.25">
      <c r="B100" t="s">
        <v>79</v>
      </c>
      <c r="G100" s="10">
        <v>0</v>
      </c>
      <c r="H100" s="10">
        <v>0</v>
      </c>
      <c r="I100" s="10">
        <v>0</v>
      </c>
      <c r="J100" s="10">
        <v>0</v>
      </c>
    </row>
    <row r="101" spans="2:10" x14ac:dyDescent="0.25">
      <c r="B101" t="s">
        <v>80</v>
      </c>
      <c r="G101" s="10">
        <f>SUM(G99:G100)</f>
        <v>10000</v>
      </c>
      <c r="H101" s="10">
        <f t="shared" ref="H101:J101" si="34">SUM(H99:H100)</f>
        <v>10000</v>
      </c>
      <c r="I101" s="10">
        <f t="shared" si="34"/>
        <v>10000</v>
      </c>
      <c r="J101" s="10">
        <f t="shared" si="34"/>
        <v>10000</v>
      </c>
    </row>
    <row r="102" spans="2:10" x14ac:dyDescent="0.25">
      <c r="G102" s="10"/>
      <c r="H102" s="10"/>
      <c r="I102" s="10"/>
      <c r="J102" s="10"/>
    </row>
    <row r="103" spans="2:10" ht="15.75" thickBot="1" x14ac:dyDescent="0.3">
      <c r="B103" t="s">
        <v>81</v>
      </c>
      <c r="G103" s="16">
        <f>G101+G97+G96+G94</f>
        <v>46530.783632066828</v>
      </c>
      <c r="H103" s="16">
        <f t="shared" ref="H103:J103" si="35">H101+H97+H96+H94</f>
        <v>39345.825400947549</v>
      </c>
      <c r="I103" s="16">
        <f t="shared" si="35"/>
        <v>31620.844032854591</v>
      </c>
      <c r="J103" s="16">
        <f t="shared" si="35"/>
        <v>27383.73663747534</v>
      </c>
    </row>
    <row r="104" spans="2:10" ht="15.75" thickTop="1" x14ac:dyDescent="0.25">
      <c r="G104" s="10"/>
      <c r="H104" s="10"/>
      <c r="I104" s="10"/>
      <c r="J104" s="10"/>
    </row>
    <row r="106" spans="2:10" x14ac:dyDescent="0.25">
      <c r="B106" t="s">
        <v>82</v>
      </c>
      <c r="G106" s="18">
        <f>G89-G103</f>
        <v>1101.1662278230724</v>
      </c>
      <c r="H106" s="18">
        <f>H89-H103</f>
        <v>1551.8997297799069</v>
      </c>
      <c r="I106" s="18">
        <f>I89-I103</f>
        <v>2028.6434481932956</v>
      </c>
      <c r="J106" s="18">
        <f>J89-J103</f>
        <v>2512.2994202169684</v>
      </c>
    </row>
    <row r="108" spans="2:10" ht="15.75" thickBot="1" x14ac:dyDescent="0.3"/>
    <row r="109" spans="2:10" x14ac:dyDescent="0.25">
      <c r="B109" s="21" t="s">
        <v>83</v>
      </c>
      <c r="C109" s="22"/>
      <c r="D109" s="22"/>
      <c r="E109" s="22"/>
      <c r="F109" s="22"/>
      <c r="G109" s="49">
        <f>G83/G94</f>
        <v>3.7173135471776488</v>
      </c>
      <c r="H109" s="49">
        <f>H83/H94</f>
        <v>2.3828365816037205</v>
      </c>
      <c r="I109" s="49">
        <f>I83/I94</f>
        <v>1.3883691529421942</v>
      </c>
      <c r="J109" s="50">
        <f>J83/J94</f>
        <v>1.1626281220570931</v>
      </c>
    </row>
    <row r="110" spans="2:10" x14ac:dyDescent="0.25">
      <c r="B110" s="23" t="s">
        <v>84</v>
      </c>
      <c r="C110" s="24"/>
      <c r="D110" s="24"/>
      <c r="E110" s="24"/>
      <c r="F110" s="24"/>
      <c r="G110" s="51">
        <f>SUM(G94:G97)/G101</f>
        <v>3.6530783632066828</v>
      </c>
      <c r="H110" s="51">
        <f t="shared" ref="H110:J110" si="36">SUM(H94:H97)/H101</f>
        <v>2.9345825400947549</v>
      </c>
      <c r="I110" s="51">
        <f t="shared" si="36"/>
        <v>2.1620844032854589</v>
      </c>
      <c r="J110" s="52">
        <f t="shared" si="36"/>
        <v>1.738373663747534</v>
      </c>
    </row>
    <row r="111" spans="2:10" x14ac:dyDescent="0.25">
      <c r="B111" s="23" t="s">
        <v>85</v>
      </c>
      <c r="C111" s="24"/>
      <c r="D111" s="24"/>
      <c r="E111" s="24"/>
      <c r="F111" s="24"/>
      <c r="G111" s="25">
        <f>G76/G89</f>
        <v>0.39999130272428457</v>
      </c>
      <c r="H111" s="25">
        <f>H76/H89</f>
        <v>0.59991493540709784</v>
      </c>
      <c r="I111" s="25">
        <f>I76/I89</f>
        <v>0.90053529357357176</v>
      </c>
      <c r="J111" s="26">
        <f>J76/J89</f>
        <v>1.2047916459917849</v>
      </c>
    </row>
    <row r="112" spans="2:10" ht="15.75" thickBot="1" x14ac:dyDescent="0.3">
      <c r="B112" s="27" t="s">
        <v>86</v>
      </c>
      <c r="C112" s="28"/>
      <c r="D112" s="28"/>
      <c r="E112" s="28"/>
      <c r="F112" s="28"/>
      <c r="G112" s="29">
        <f>G76/G101</f>
        <v>1.9052365675755165</v>
      </c>
      <c r="H112" s="29">
        <f>H76/H101</f>
        <v>2.4535156130097602</v>
      </c>
      <c r="I112" s="29">
        <f>I76/I101</f>
        <v>3.0302551087345688</v>
      </c>
      <c r="J112" s="30">
        <f>J76/J101</f>
        <v>3.6018494490576871</v>
      </c>
    </row>
    <row r="114" spans="1:10" x14ac:dyDescent="0.25">
      <c r="A114" s="53" t="s">
        <v>161</v>
      </c>
    </row>
    <row r="115" spans="1:10" x14ac:dyDescent="0.25">
      <c r="B115" s="15" t="s">
        <v>67</v>
      </c>
      <c r="G115" s="54">
        <f>G81</f>
        <v>12833.372936812979</v>
      </c>
      <c r="H115" s="54">
        <f t="shared" ref="H115:J115" si="37">H81</f>
        <v>9534.9943614966869</v>
      </c>
      <c r="I115" s="54">
        <f t="shared" si="37"/>
        <v>5715.9201733555801</v>
      </c>
      <c r="J115" s="54">
        <f t="shared" si="37"/>
        <v>5384.6153846153848</v>
      </c>
    </row>
    <row r="116" spans="1:10" x14ac:dyDescent="0.25">
      <c r="B116" s="15" t="s">
        <v>126</v>
      </c>
      <c r="G116" s="54">
        <f t="shared" ref="G116:J116" si="38">G82</f>
        <v>2673.0769230769229</v>
      </c>
      <c r="H116" s="54">
        <f t="shared" si="38"/>
        <v>2806.7307692307691</v>
      </c>
      <c r="I116" s="54">
        <f t="shared" si="38"/>
        <v>2947.0673076923076</v>
      </c>
      <c r="J116" s="54">
        <f t="shared" si="38"/>
        <v>3094.4206730769229</v>
      </c>
    </row>
    <row r="117" spans="1:10" x14ac:dyDescent="0.25">
      <c r="B117" s="55" t="s">
        <v>129</v>
      </c>
      <c r="G117" s="18">
        <f>G92</f>
        <v>809.23076923076928</v>
      </c>
      <c r="H117" s="18">
        <f t="shared" ref="H117:J117" si="39">H92</f>
        <v>849.69230769230774</v>
      </c>
      <c r="I117" s="18">
        <f t="shared" si="39"/>
        <v>892.176923076923</v>
      </c>
      <c r="J117" s="18">
        <f t="shared" si="39"/>
        <v>936.78576923076923</v>
      </c>
    </row>
    <row r="118" spans="1:10" x14ac:dyDescent="0.25">
      <c r="B118" s="15" t="s">
        <v>74</v>
      </c>
      <c r="G118" s="18">
        <f t="shared" ref="G118:J118" si="40">G93</f>
        <v>3362.1821780744408</v>
      </c>
      <c r="H118" s="18">
        <f t="shared" si="40"/>
        <v>4329.7334347231063</v>
      </c>
      <c r="I118" s="18">
        <f t="shared" si="40"/>
        <v>5347.5090154139452</v>
      </c>
      <c r="J118" s="18">
        <f t="shared" si="40"/>
        <v>6356.2049101018001</v>
      </c>
    </row>
    <row r="120" spans="1:10" x14ac:dyDescent="0.25">
      <c r="A120" s="53" t="s">
        <v>162</v>
      </c>
    </row>
    <row r="121" spans="1:10" x14ac:dyDescent="0.25">
      <c r="B121" s="56" t="s">
        <v>163</v>
      </c>
      <c r="G121" s="18">
        <f>G67</f>
        <v>28542</v>
      </c>
      <c r="H121" s="18">
        <f t="shared" ref="H121:J121" si="41">H67</f>
        <v>34440</v>
      </c>
      <c r="I121" s="18">
        <f t="shared" si="41"/>
        <v>40632.899999999994</v>
      </c>
      <c r="J121" s="18">
        <f t="shared" si="41"/>
        <v>47135.445000000007</v>
      </c>
    </row>
    <row r="122" spans="1:10" x14ac:dyDescent="0.25">
      <c r="B122" s="56" t="s">
        <v>164</v>
      </c>
      <c r="G122" s="18">
        <f>-G69</f>
        <v>-3569.5</v>
      </c>
      <c r="H122" s="18">
        <f t="shared" ref="H122:J122" si="42">-H69</f>
        <v>-3569.5</v>
      </c>
      <c r="I122" s="18">
        <f t="shared" si="42"/>
        <v>-3569.5</v>
      </c>
      <c r="J122" s="18">
        <f t="shared" si="42"/>
        <v>-3569.5</v>
      </c>
    </row>
    <row r="123" spans="1:10" x14ac:dyDescent="0.25">
      <c r="B123" s="56" t="s">
        <v>165</v>
      </c>
      <c r="G123" s="18">
        <f>G121+G122</f>
        <v>24972.5</v>
      </c>
      <c r="H123" s="18">
        <f t="shared" ref="H123:J123" si="43">H121+H122</f>
        <v>30870.5</v>
      </c>
      <c r="I123" s="18">
        <f t="shared" si="43"/>
        <v>37063.399999999994</v>
      </c>
      <c r="J123" s="18">
        <f t="shared" si="43"/>
        <v>43565.945000000007</v>
      </c>
    </row>
    <row r="124" spans="1:10" x14ac:dyDescent="0.25">
      <c r="B124" s="56" t="s">
        <v>166</v>
      </c>
      <c r="C124" s="36">
        <v>0.15</v>
      </c>
      <c r="G124" s="60">
        <f>-G123*$C$124</f>
        <v>-3745.875</v>
      </c>
      <c r="H124" s="60">
        <f t="shared" ref="H124:J124" si="44">-H123*$C$124</f>
        <v>-4630.5749999999998</v>
      </c>
      <c r="I124" s="60">
        <f t="shared" si="44"/>
        <v>-5559.5099999999993</v>
      </c>
      <c r="J124" s="60">
        <f t="shared" si="44"/>
        <v>-6534.8917500000007</v>
      </c>
    </row>
    <row r="125" spans="1:10" x14ac:dyDescent="0.25">
      <c r="B125" s="56" t="s">
        <v>167</v>
      </c>
      <c r="G125" s="18">
        <f>G123+G124</f>
        <v>21226.625</v>
      </c>
      <c r="H125" s="18">
        <f t="shared" ref="H125:J125" si="45">H123+H124</f>
        <v>26239.924999999999</v>
      </c>
      <c r="I125" s="18">
        <f t="shared" si="45"/>
        <v>31503.889999999996</v>
      </c>
      <c r="J125" s="18">
        <f t="shared" si="45"/>
        <v>37031.053250000004</v>
      </c>
    </row>
    <row r="126" spans="1:10" x14ac:dyDescent="0.25">
      <c r="B126" s="56"/>
    </row>
    <row r="127" spans="1:10" x14ac:dyDescent="0.25">
      <c r="B127" s="56" t="s">
        <v>168</v>
      </c>
      <c r="G127" s="18">
        <f>-G122</f>
        <v>3569.5</v>
      </c>
      <c r="H127" s="18">
        <f t="shared" ref="H127:J127" si="46">-H122</f>
        <v>3569.5</v>
      </c>
      <c r="I127" s="18">
        <f t="shared" si="46"/>
        <v>3569.5</v>
      </c>
      <c r="J127" s="18">
        <f t="shared" si="46"/>
        <v>3569.5</v>
      </c>
    </row>
    <row r="128" spans="1:10" x14ac:dyDescent="0.25">
      <c r="B128" s="56"/>
    </row>
    <row r="129" spans="1:10" x14ac:dyDescent="0.25">
      <c r="B129" s="56" t="s">
        <v>169</v>
      </c>
      <c r="G129" s="18">
        <f>G125+G127</f>
        <v>24796.125</v>
      </c>
      <c r="H129" s="18">
        <f t="shared" ref="H129:J129" si="47">H125+H127</f>
        <v>29809.424999999999</v>
      </c>
      <c r="I129" s="18">
        <f t="shared" si="47"/>
        <v>35073.39</v>
      </c>
      <c r="J129" s="18">
        <f t="shared" si="47"/>
        <v>40600.553250000004</v>
      </c>
    </row>
    <row r="130" spans="1:10" x14ac:dyDescent="0.25">
      <c r="B130" s="56"/>
      <c r="G130" s="18"/>
      <c r="H130" s="18"/>
      <c r="I130" s="18"/>
      <c r="J130" s="18"/>
    </row>
    <row r="131" spans="1:10" x14ac:dyDescent="0.25">
      <c r="B131" s="56" t="s">
        <v>178</v>
      </c>
      <c r="F131" s="18">
        <f>-G85</f>
        <v>-35695</v>
      </c>
      <c r="G131" s="18"/>
      <c r="H131" s="18"/>
      <c r="I131" s="18"/>
      <c r="J131" s="18"/>
    </row>
    <row r="132" spans="1:10" x14ac:dyDescent="0.25">
      <c r="B132" s="56" t="s">
        <v>179</v>
      </c>
      <c r="G132" s="18"/>
      <c r="H132" s="18"/>
      <c r="I132" s="18"/>
      <c r="J132" s="18">
        <f>-F131-SUM(G19:J19)</f>
        <v>21417</v>
      </c>
    </row>
    <row r="134" spans="1:10" x14ac:dyDescent="0.25">
      <c r="A134" s="61" t="s">
        <v>171</v>
      </c>
    </row>
    <row r="135" spans="1:10" x14ac:dyDescent="0.25">
      <c r="B135" s="15" t="s">
        <v>67</v>
      </c>
      <c r="G135" s="18">
        <f>-(G115-F115)</f>
        <v>-12833.372936812979</v>
      </c>
      <c r="H135" s="18">
        <f t="shared" ref="H135:J135" si="48">-(H115-G115)</f>
        <v>3298.378575316292</v>
      </c>
      <c r="I135" s="18">
        <f t="shared" si="48"/>
        <v>3819.0741881411068</v>
      </c>
      <c r="J135" s="18">
        <f t="shared" si="48"/>
        <v>331.30478874019536</v>
      </c>
    </row>
    <row r="136" spans="1:10" x14ac:dyDescent="0.25">
      <c r="B136" s="15" t="s">
        <v>126</v>
      </c>
      <c r="G136" s="18">
        <f t="shared" ref="G136:J136" si="49">-(G116-F116)</f>
        <v>-2673.0769230769229</v>
      </c>
      <c r="H136" s="18">
        <f t="shared" si="49"/>
        <v>-133.65384615384619</v>
      </c>
      <c r="I136" s="18">
        <f t="shared" si="49"/>
        <v>-140.33653846153857</v>
      </c>
      <c r="J136" s="18">
        <f t="shared" si="49"/>
        <v>-147.35336538461524</v>
      </c>
    </row>
    <row r="137" spans="1:10" x14ac:dyDescent="0.25">
      <c r="B137" s="55" t="s">
        <v>129</v>
      </c>
      <c r="G137" s="18">
        <f>G117-F117</f>
        <v>809.23076923076928</v>
      </c>
      <c r="H137" s="18">
        <f t="shared" ref="H137:J137" si="50">H117-G117</f>
        <v>40.461538461538453</v>
      </c>
      <c r="I137" s="18">
        <f t="shared" si="50"/>
        <v>42.484615384615267</v>
      </c>
      <c r="J137" s="18">
        <f t="shared" si="50"/>
        <v>44.60884615384623</v>
      </c>
    </row>
    <row r="138" spans="1:10" x14ac:dyDescent="0.25">
      <c r="B138" s="15" t="s">
        <v>74</v>
      </c>
      <c r="G138" s="18">
        <f t="shared" ref="G138:J138" si="51">G118-F118</f>
        <v>3362.1821780744408</v>
      </c>
      <c r="H138" s="18">
        <f t="shared" si="51"/>
        <v>967.55125664866546</v>
      </c>
      <c r="I138" s="18">
        <f t="shared" si="51"/>
        <v>1017.775580690839</v>
      </c>
      <c r="J138" s="18">
        <f t="shared" si="51"/>
        <v>1008.6958946878549</v>
      </c>
    </row>
    <row r="140" spans="1:10" x14ac:dyDescent="0.25">
      <c r="A140" s="53" t="s">
        <v>172</v>
      </c>
    </row>
    <row r="141" spans="1:10" x14ac:dyDescent="0.25">
      <c r="B141" s="15" t="s">
        <v>67</v>
      </c>
      <c r="J141" s="59">
        <f>J115</f>
        <v>5384.6153846153848</v>
      </c>
    </row>
    <row r="142" spans="1:10" x14ac:dyDescent="0.25">
      <c r="B142" s="15" t="s">
        <v>126</v>
      </c>
      <c r="J142" s="59">
        <f>J116</f>
        <v>3094.4206730769229</v>
      </c>
    </row>
    <row r="143" spans="1:10" x14ac:dyDescent="0.25">
      <c r="B143" s="55" t="s">
        <v>129</v>
      </c>
      <c r="J143" s="18">
        <f>-J117</f>
        <v>-936.78576923076923</v>
      </c>
    </row>
    <row r="144" spans="1:10" x14ac:dyDescent="0.25">
      <c r="B144" s="15" t="s">
        <v>74</v>
      </c>
      <c r="J144" s="18">
        <f>-J118</f>
        <v>-6356.2049101018001</v>
      </c>
    </row>
    <row r="146" spans="1:10" x14ac:dyDescent="0.25">
      <c r="A146" s="56" t="s">
        <v>119</v>
      </c>
      <c r="B146" s="56"/>
      <c r="F146" s="60">
        <f>SUM(F129:F145)</f>
        <v>-35695</v>
      </c>
      <c r="G146" s="60">
        <f t="shared" ref="G146:J146" si="52">SUM(G129:G145)</f>
        <v>13461.08808741531</v>
      </c>
      <c r="H146" s="60">
        <f t="shared" si="52"/>
        <v>33982.162524272651</v>
      </c>
      <c r="I146" s="60">
        <f t="shared" si="52"/>
        <v>39812.387845755024</v>
      </c>
      <c r="J146" s="60">
        <f t="shared" si="52"/>
        <v>64440.854792557024</v>
      </c>
    </row>
    <row r="147" spans="1:10" x14ac:dyDescent="0.25">
      <c r="A147" s="56" t="s">
        <v>173</v>
      </c>
      <c r="B147" s="56"/>
      <c r="F147">
        <v>0</v>
      </c>
      <c r="G147">
        <v>1</v>
      </c>
      <c r="H147">
        <v>2</v>
      </c>
      <c r="I147">
        <v>3</v>
      </c>
      <c r="J147">
        <v>4</v>
      </c>
    </row>
    <row r="148" spans="1:10" x14ac:dyDescent="0.25">
      <c r="A148" s="56"/>
      <c r="B148" s="56"/>
    </row>
    <row r="149" spans="1:10" x14ac:dyDescent="0.25">
      <c r="A149" s="56"/>
      <c r="B149" s="56" t="s">
        <v>174</v>
      </c>
      <c r="F149" s="60">
        <f>PV($C$152,F147,,-F146)</f>
        <v>-35695</v>
      </c>
      <c r="G149" s="63">
        <f t="shared" ref="G149:J149" si="53">PV($C$152,G147,,-G146)</f>
        <v>12533.076654413391</v>
      </c>
      <c r="H149" s="63">
        <f t="shared" si="53"/>
        <v>29458.190882526866</v>
      </c>
      <c r="I149" s="63">
        <f t="shared" si="53"/>
        <v>32132.966056356079</v>
      </c>
      <c r="J149" s="63">
        <f t="shared" si="53"/>
        <v>48425.198687088239</v>
      </c>
    </row>
    <row r="150" spans="1:10" x14ac:dyDescent="0.25">
      <c r="A150" s="56"/>
      <c r="B150" s="56" t="s">
        <v>175</v>
      </c>
      <c r="F150" s="63">
        <f>SUM(F149:J149)</f>
        <v>86854.432280384572</v>
      </c>
    </row>
    <row r="151" spans="1:10" x14ac:dyDescent="0.25">
      <c r="A151" s="56"/>
      <c r="B151" s="56" t="s">
        <v>176</v>
      </c>
      <c r="F151" s="9">
        <f>IRR(F146:J146)</f>
        <v>0.69610793051025355</v>
      </c>
    </row>
    <row r="152" spans="1:10" x14ac:dyDescent="0.25">
      <c r="A152" s="56"/>
      <c r="B152" s="56" t="s">
        <v>177</v>
      </c>
      <c r="C152" s="62">
        <f>'Historic WACC'!D17</f>
        <v>7.404498181818181E-2</v>
      </c>
    </row>
    <row r="153" spans="1:10" x14ac:dyDescent="0.25">
      <c r="A153" s="56"/>
      <c r="B153" s="56"/>
    </row>
    <row r="154" spans="1:10" x14ac:dyDescent="0.25">
      <c r="A154" s="56"/>
      <c r="B154" s="56"/>
    </row>
    <row r="155" spans="1:10" x14ac:dyDescent="0.25">
      <c r="A155" s="56"/>
      <c r="B155" s="56"/>
    </row>
    <row r="156" spans="1:10" x14ac:dyDescent="0.25">
      <c r="A156" s="56"/>
      <c r="B156" s="56"/>
    </row>
    <row r="160" spans="1:10" x14ac:dyDescent="0.25">
      <c r="B160" t="s">
        <v>181</v>
      </c>
    </row>
    <row r="161" spans="2:2" x14ac:dyDescent="0.25">
      <c r="B161" s="64" t="s">
        <v>180</v>
      </c>
    </row>
  </sheetData>
  <mergeCells count="1">
    <mergeCell ref="B1:D1"/>
  </mergeCells>
  <hyperlinks>
    <hyperlink ref="B161" r:id="rId1"/>
  </hyperlinks>
  <pageMargins left="0.7" right="0.7" top="0.75" bottom="0.75" header="0.3" footer="0.3"/>
  <pageSetup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B2" sqref="B2"/>
    </sheetView>
  </sheetViews>
  <sheetFormatPr defaultColWidth="11.5703125" defaultRowHeight="15" x14ac:dyDescent="0.25"/>
  <cols>
    <col min="1" max="1" width="30.14062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257" max="257" width="30.140625" customWidth="1"/>
    <col min="258" max="259" width="12.7109375" customWidth="1"/>
    <col min="260" max="260" width="12.85546875" customWidth="1"/>
    <col min="261" max="261" width="13.5703125" customWidth="1"/>
    <col min="262" max="262" width="12.42578125" customWidth="1"/>
    <col min="513" max="513" width="30.140625" customWidth="1"/>
    <col min="514" max="515" width="12.7109375" customWidth="1"/>
    <col min="516" max="516" width="12.85546875" customWidth="1"/>
    <col min="517" max="517" width="13.5703125" customWidth="1"/>
    <col min="518" max="518" width="12.42578125" customWidth="1"/>
    <col min="769" max="769" width="30.140625" customWidth="1"/>
    <col min="770" max="771" width="12.7109375" customWidth="1"/>
    <col min="772" max="772" width="12.85546875" customWidth="1"/>
    <col min="773" max="773" width="13.5703125" customWidth="1"/>
    <col min="774" max="774" width="12.42578125" customWidth="1"/>
    <col min="1025" max="1025" width="30.140625" customWidth="1"/>
    <col min="1026" max="1027" width="12.7109375" customWidth="1"/>
    <col min="1028" max="1028" width="12.85546875" customWidth="1"/>
    <col min="1029" max="1029" width="13.5703125" customWidth="1"/>
    <col min="1030" max="1030" width="12.42578125" customWidth="1"/>
    <col min="1281" max="1281" width="30.140625" customWidth="1"/>
    <col min="1282" max="1283" width="12.7109375" customWidth="1"/>
    <col min="1284" max="1284" width="12.85546875" customWidth="1"/>
    <col min="1285" max="1285" width="13.5703125" customWidth="1"/>
    <col min="1286" max="1286" width="12.42578125" customWidth="1"/>
    <col min="1537" max="1537" width="30.140625" customWidth="1"/>
    <col min="1538" max="1539" width="12.7109375" customWidth="1"/>
    <col min="1540" max="1540" width="12.85546875" customWidth="1"/>
    <col min="1541" max="1541" width="13.5703125" customWidth="1"/>
    <col min="1542" max="1542" width="12.42578125" customWidth="1"/>
    <col min="1793" max="1793" width="30.140625" customWidth="1"/>
    <col min="1794" max="1795" width="12.7109375" customWidth="1"/>
    <col min="1796" max="1796" width="12.85546875" customWidth="1"/>
    <col min="1797" max="1797" width="13.5703125" customWidth="1"/>
    <col min="1798" max="1798" width="12.42578125" customWidth="1"/>
    <col min="2049" max="2049" width="30.140625" customWidth="1"/>
    <col min="2050" max="2051" width="12.7109375" customWidth="1"/>
    <col min="2052" max="2052" width="12.85546875" customWidth="1"/>
    <col min="2053" max="2053" width="13.5703125" customWidth="1"/>
    <col min="2054" max="2054" width="12.42578125" customWidth="1"/>
    <col min="2305" max="2305" width="30.140625" customWidth="1"/>
    <col min="2306" max="2307" width="12.7109375" customWidth="1"/>
    <col min="2308" max="2308" width="12.85546875" customWidth="1"/>
    <col min="2309" max="2309" width="13.5703125" customWidth="1"/>
    <col min="2310" max="2310" width="12.42578125" customWidth="1"/>
    <col min="2561" max="2561" width="30.140625" customWidth="1"/>
    <col min="2562" max="2563" width="12.7109375" customWidth="1"/>
    <col min="2564" max="2564" width="12.85546875" customWidth="1"/>
    <col min="2565" max="2565" width="13.5703125" customWidth="1"/>
    <col min="2566" max="2566" width="12.42578125" customWidth="1"/>
    <col min="2817" max="2817" width="30.140625" customWidth="1"/>
    <col min="2818" max="2819" width="12.7109375" customWidth="1"/>
    <col min="2820" max="2820" width="12.85546875" customWidth="1"/>
    <col min="2821" max="2821" width="13.5703125" customWidth="1"/>
    <col min="2822" max="2822" width="12.42578125" customWidth="1"/>
    <col min="3073" max="3073" width="30.140625" customWidth="1"/>
    <col min="3074" max="3075" width="12.7109375" customWidth="1"/>
    <col min="3076" max="3076" width="12.85546875" customWidth="1"/>
    <col min="3077" max="3077" width="13.5703125" customWidth="1"/>
    <col min="3078" max="3078" width="12.42578125" customWidth="1"/>
    <col min="3329" max="3329" width="30.140625" customWidth="1"/>
    <col min="3330" max="3331" width="12.7109375" customWidth="1"/>
    <col min="3332" max="3332" width="12.85546875" customWidth="1"/>
    <col min="3333" max="3333" width="13.5703125" customWidth="1"/>
    <col min="3334" max="3334" width="12.42578125" customWidth="1"/>
    <col min="3585" max="3585" width="30.140625" customWidth="1"/>
    <col min="3586" max="3587" width="12.7109375" customWidth="1"/>
    <col min="3588" max="3588" width="12.85546875" customWidth="1"/>
    <col min="3589" max="3589" width="13.5703125" customWidth="1"/>
    <col min="3590" max="3590" width="12.42578125" customWidth="1"/>
    <col min="3841" max="3841" width="30.140625" customWidth="1"/>
    <col min="3842" max="3843" width="12.7109375" customWidth="1"/>
    <col min="3844" max="3844" width="12.85546875" customWidth="1"/>
    <col min="3845" max="3845" width="13.5703125" customWidth="1"/>
    <col min="3846" max="3846" width="12.42578125" customWidth="1"/>
    <col min="4097" max="4097" width="30.140625" customWidth="1"/>
    <col min="4098" max="4099" width="12.7109375" customWidth="1"/>
    <col min="4100" max="4100" width="12.85546875" customWidth="1"/>
    <col min="4101" max="4101" width="13.5703125" customWidth="1"/>
    <col min="4102" max="4102" width="12.42578125" customWidth="1"/>
    <col min="4353" max="4353" width="30.140625" customWidth="1"/>
    <col min="4354" max="4355" width="12.7109375" customWidth="1"/>
    <col min="4356" max="4356" width="12.85546875" customWidth="1"/>
    <col min="4357" max="4357" width="13.5703125" customWidth="1"/>
    <col min="4358" max="4358" width="12.42578125" customWidth="1"/>
    <col min="4609" max="4609" width="30.140625" customWidth="1"/>
    <col min="4610" max="4611" width="12.7109375" customWidth="1"/>
    <col min="4612" max="4612" width="12.85546875" customWidth="1"/>
    <col min="4613" max="4613" width="13.5703125" customWidth="1"/>
    <col min="4614" max="4614" width="12.42578125" customWidth="1"/>
    <col min="4865" max="4865" width="30.140625" customWidth="1"/>
    <col min="4866" max="4867" width="12.7109375" customWidth="1"/>
    <col min="4868" max="4868" width="12.85546875" customWidth="1"/>
    <col min="4869" max="4869" width="13.5703125" customWidth="1"/>
    <col min="4870" max="4870" width="12.42578125" customWidth="1"/>
    <col min="5121" max="5121" width="30.140625" customWidth="1"/>
    <col min="5122" max="5123" width="12.7109375" customWidth="1"/>
    <col min="5124" max="5124" width="12.85546875" customWidth="1"/>
    <col min="5125" max="5125" width="13.5703125" customWidth="1"/>
    <col min="5126" max="5126" width="12.42578125" customWidth="1"/>
    <col min="5377" max="5377" width="30.140625" customWidth="1"/>
    <col min="5378" max="5379" width="12.7109375" customWidth="1"/>
    <col min="5380" max="5380" width="12.85546875" customWidth="1"/>
    <col min="5381" max="5381" width="13.5703125" customWidth="1"/>
    <col min="5382" max="5382" width="12.42578125" customWidth="1"/>
    <col min="5633" max="5633" width="30.140625" customWidth="1"/>
    <col min="5634" max="5635" width="12.7109375" customWidth="1"/>
    <col min="5636" max="5636" width="12.85546875" customWidth="1"/>
    <col min="5637" max="5637" width="13.5703125" customWidth="1"/>
    <col min="5638" max="5638" width="12.42578125" customWidth="1"/>
    <col min="5889" max="5889" width="30.140625" customWidth="1"/>
    <col min="5890" max="5891" width="12.7109375" customWidth="1"/>
    <col min="5892" max="5892" width="12.85546875" customWidth="1"/>
    <col min="5893" max="5893" width="13.5703125" customWidth="1"/>
    <col min="5894" max="5894" width="12.42578125" customWidth="1"/>
    <col min="6145" max="6145" width="30.140625" customWidth="1"/>
    <col min="6146" max="6147" width="12.7109375" customWidth="1"/>
    <col min="6148" max="6148" width="12.85546875" customWidth="1"/>
    <col min="6149" max="6149" width="13.5703125" customWidth="1"/>
    <col min="6150" max="6150" width="12.42578125" customWidth="1"/>
    <col min="6401" max="6401" width="30.140625" customWidth="1"/>
    <col min="6402" max="6403" width="12.7109375" customWidth="1"/>
    <col min="6404" max="6404" width="12.85546875" customWidth="1"/>
    <col min="6405" max="6405" width="13.5703125" customWidth="1"/>
    <col min="6406" max="6406" width="12.42578125" customWidth="1"/>
    <col min="6657" max="6657" width="30.140625" customWidth="1"/>
    <col min="6658" max="6659" width="12.7109375" customWidth="1"/>
    <col min="6660" max="6660" width="12.85546875" customWidth="1"/>
    <col min="6661" max="6661" width="13.5703125" customWidth="1"/>
    <col min="6662" max="6662" width="12.42578125" customWidth="1"/>
    <col min="6913" max="6913" width="30.140625" customWidth="1"/>
    <col min="6914" max="6915" width="12.7109375" customWidth="1"/>
    <col min="6916" max="6916" width="12.85546875" customWidth="1"/>
    <col min="6917" max="6917" width="13.5703125" customWidth="1"/>
    <col min="6918" max="6918" width="12.42578125" customWidth="1"/>
    <col min="7169" max="7169" width="30.140625" customWidth="1"/>
    <col min="7170" max="7171" width="12.7109375" customWidth="1"/>
    <col min="7172" max="7172" width="12.85546875" customWidth="1"/>
    <col min="7173" max="7173" width="13.5703125" customWidth="1"/>
    <col min="7174" max="7174" width="12.42578125" customWidth="1"/>
    <col min="7425" max="7425" width="30.140625" customWidth="1"/>
    <col min="7426" max="7427" width="12.7109375" customWidth="1"/>
    <col min="7428" max="7428" width="12.85546875" customWidth="1"/>
    <col min="7429" max="7429" width="13.5703125" customWidth="1"/>
    <col min="7430" max="7430" width="12.42578125" customWidth="1"/>
    <col min="7681" max="7681" width="30.140625" customWidth="1"/>
    <col min="7682" max="7683" width="12.7109375" customWidth="1"/>
    <col min="7684" max="7684" width="12.85546875" customWidth="1"/>
    <col min="7685" max="7685" width="13.5703125" customWidth="1"/>
    <col min="7686" max="7686" width="12.42578125" customWidth="1"/>
    <col min="7937" max="7937" width="30.140625" customWidth="1"/>
    <col min="7938" max="7939" width="12.7109375" customWidth="1"/>
    <col min="7940" max="7940" width="12.85546875" customWidth="1"/>
    <col min="7941" max="7941" width="13.5703125" customWidth="1"/>
    <col min="7942" max="7942" width="12.42578125" customWidth="1"/>
    <col min="8193" max="8193" width="30.140625" customWidth="1"/>
    <col min="8194" max="8195" width="12.7109375" customWidth="1"/>
    <col min="8196" max="8196" width="12.85546875" customWidth="1"/>
    <col min="8197" max="8197" width="13.5703125" customWidth="1"/>
    <col min="8198" max="8198" width="12.42578125" customWidth="1"/>
    <col min="8449" max="8449" width="30.140625" customWidth="1"/>
    <col min="8450" max="8451" width="12.7109375" customWidth="1"/>
    <col min="8452" max="8452" width="12.85546875" customWidth="1"/>
    <col min="8453" max="8453" width="13.5703125" customWidth="1"/>
    <col min="8454" max="8454" width="12.42578125" customWidth="1"/>
    <col min="8705" max="8705" width="30.140625" customWidth="1"/>
    <col min="8706" max="8707" width="12.7109375" customWidth="1"/>
    <col min="8708" max="8708" width="12.85546875" customWidth="1"/>
    <col min="8709" max="8709" width="13.5703125" customWidth="1"/>
    <col min="8710" max="8710" width="12.42578125" customWidth="1"/>
    <col min="8961" max="8961" width="30.140625" customWidth="1"/>
    <col min="8962" max="8963" width="12.7109375" customWidth="1"/>
    <col min="8964" max="8964" width="12.85546875" customWidth="1"/>
    <col min="8965" max="8965" width="13.5703125" customWidth="1"/>
    <col min="8966" max="8966" width="12.42578125" customWidth="1"/>
    <col min="9217" max="9217" width="30.140625" customWidth="1"/>
    <col min="9218" max="9219" width="12.7109375" customWidth="1"/>
    <col min="9220" max="9220" width="12.85546875" customWidth="1"/>
    <col min="9221" max="9221" width="13.5703125" customWidth="1"/>
    <col min="9222" max="9222" width="12.42578125" customWidth="1"/>
    <col min="9473" max="9473" width="30.140625" customWidth="1"/>
    <col min="9474" max="9475" width="12.7109375" customWidth="1"/>
    <col min="9476" max="9476" width="12.85546875" customWidth="1"/>
    <col min="9477" max="9477" width="13.5703125" customWidth="1"/>
    <col min="9478" max="9478" width="12.42578125" customWidth="1"/>
    <col min="9729" max="9729" width="30.140625" customWidth="1"/>
    <col min="9730" max="9731" width="12.7109375" customWidth="1"/>
    <col min="9732" max="9732" width="12.85546875" customWidth="1"/>
    <col min="9733" max="9733" width="13.5703125" customWidth="1"/>
    <col min="9734" max="9734" width="12.42578125" customWidth="1"/>
    <col min="9985" max="9985" width="30.140625" customWidth="1"/>
    <col min="9986" max="9987" width="12.7109375" customWidth="1"/>
    <col min="9988" max="9988" width="12.85546875" customWidth="1"/>
    <col min="9989" max="9989" width="13.5703125" customWidth="1"/>
    <col min="9990" max="9990" width="12.42578125" customWidth="1"/>
    <col min="10241" max="10241" width="30.140625" customWidth="1"/>
    <col min="10242" max="10243" width="12.7109375" customWidth="1"/>
    <col min="10244" max="10244" width="12.85546875" customWidth="1"/>
    <col min="10245" max="10245" width="13.5703125" customWidth="1"/>
    <col min="10246" max="10246" width="12.42578125" customWidth="1"/>
    <col min="10497" max="10497" width="30.140625" customWidth="1"/>
    <col min="10498" max="10499" width="12.7109375" customWidth="1"/>
    <col min="10500" max="10500" width="12.85546875" customWidth="1"/>
    <col min="10501" max="10501" width="13.5703125" customWidth="1"/>
    <col min="10502" max="10502" width="12.42578125" customWidth="1"/>
    <col min="10753" max="10753" width="30.140625" customWidth="1"/>
    <col min="10754" max="10755" width="12.7109375" customWidth="1"/>
    <col min="10756" max="10756" width="12.85546875" customWidth="1"/>
    <col min="10757" max="10757" width="13.5703125" customWidth="1"/>
    <col min="10758" max="10758" width="12.42578125" customWidth="1"/>
    <col min="11009" max="11009" width="30.140625" customWidth="1"/>
    <col min="11010" max="11011" width="12.7109375" customWidth="1"/>
    <col min="11012" max="11012" width="12.85546875" customWidth="1"/>
    <col min="11013" max="11013" width="13.5703125" customWidth="1"/>
    <col min="11014" max="11014" width="12.42578125" customWidth="1"/>
    <col min="11265" max="11265" width="30.140625" customWidth="1"/>
    <col min="11266" max="11267" width="12.7109375" customWidth="1"/>
    <col min="11268" max="11268" width="12.85546875" customWidth="1"/>
    <col min="11269" max="11269" width="13.5703125" customWidth="1"/>
    <col min="11270" max="11270" width="12.42578125" customWidth="1"/>
    <col min="11521" max="11521" width="30.140625" customWidth="1"/>
    <col min="11522" max="11523" width="12.7109375" customWidth="1"/>
    <col min="11524" max="11524" width="12.85546875" customWidth="1"/>
    <col min="11525" max="11525" width="13.5703125" customWidth="1"/>
    <col min="11526" max="11526" width="12.42578125" customWidth="1"/>
    <col min="11777" max="11777" width="30.140625" customWidth="1"/>
    <col min="11778" max="11779" width="12.7109375" customWidth="1"/>
    <col min="11780" max="11780" width="12.85546875" customWidth="1"/>
    <col min="11781" max="11781" width="13.5703125" customWidth="1"/>
    <col min="11782" max="11782" width="12.42578125" customWidth="1"/>
    <col min="12033" max="12033" width="30.140625" customWidth="1"/>
    <col min="12034" max="12035" width="12.7109375" customWidth="1"/>
    <col min="12036" max="12036" width="12.85546875" customWidth="1"/>
    <col min="12037" max="12037" width="13.5703125" customWidth="1"/>
    <col min="12038" max="12038" width="12.42578125" customWidth="1"/>
    <col min="12289" max="12289" width="30.140625" customWidth="1"/>
    <col min="12290" max="12291" width="12.7109375" customWidth="1"/>
    <col min="12292" max="12292" width="12.85546875" customWidth="1"/>
    <col min="12293" max="12293" width="13.5703125" customWidth="1"/>
    <col min="12294" max="12294" width="12.42578125" customWidth="1"/>
    <col min="12545" max="12545" width="30.140625" customWidth="1"/>
    <col min="12546" max="12547" width="12.7109375" customWidth="1"/>
    <col min="12548" max="12548" width="12.85546875" customWidth="1"/>
    <col min="12549" max="12549" width="13.5703125" customWidth="1"/>
    <col min="12550" max="12550" width="12.42578125" customWidth="1"/>
    <col min="12801" max="12801" width="30.140625" customWidth="1"/>
    <col min="12802" max="12803" width="12.7109375" customWidth="1"/>
    <col min="12804" max="12804" width="12.85546875" customWidth="1"/>
    <col min="12805" max="12805" width="13.5703125" customWidth="1"/>
    <col min="12806" max="12806" width="12.42578125" customWidth="1"/>
    <col min="13057" max="13057" width="30.140625" customWidth="1"/>
    <col min="13058" max="13059" width="12.7109375" customWidth="1"/>
    <col min="13060" max="13060" width="12.85546875" customWidth="1"/>
    <col min="13061" max="13061" width="13.5703125" customWidth="1"/>
    <col min="13062" max="13062" width="12.42578125" customWidth="1"/>
    <col min="13313" max="13313" width="30.140625" customWidth="1"/>
    <col min="13314" max="13315" width="12.7109375" customWidth="1"/>
    <col min="13316" max="13316" width="12.85546875" customWidth="1"/>
    <col min="13317" max="13317" width="13.5703125" customWidth="1"/>
    <col min="13318" max="13318" width="12.42578125" customWidth="1"/>
    <col min="13569" max="13569" width="30.140625" customWidth="1"/>
    <col min="13570" max="13571" width="12.7109375" customWidth="1"/>
    <col min="13572" max="13572" width="12.85546875" customWidth="1"/>
    <col min="13573" max="13573" width="13.5703125" customWidth="1"/>
    <col min="13574" max="13574" width="12.42578125" customWidth="1"/>
    <col min="13825" max="13825" width="30.140625" customWidth="1"/>
    <col min="13826" max="13827" width="12.7109375" customWidth="1"/>
    <col min="13828" max="13828" width="12.85546875" customWidth="1"/>
    <col min="13829" max="13829" width="13.5703125" customWidth="1"/>
    <col min="13830" max="13830" width="12.42578125" customWidth="1"/>
    <col min="14081" max="14081" width="30.140625" customWidth="1"/>
    <col min="14082" max="14083" width="12.7109375" customWidth="1"/>
    <col min="14084" max="14084" width="12.85546875" customWidth="1"/>
    <col min="14085" max="14085" width="13.5703125" customWidth="1"/>
    <col min="14086" max="14086" width="12.42578125" customWidth="1"/>
    <col min="14337" max="14337" width="30.140625" customWidth="1"/>
    <col min="14338" max="14339" width="12.7109375" customWidth="1"/>
    <col min="14340" max="14340" width="12.85546875" customWidth="1"/>
    <col min="14341" max="14341" width="13.5703125" customWidth="1"/>
    <col min="14342" max="14342" width="12.42578125" customWidth="1"/>
    <col min="14593" max="14593" width="30.140625" customWidth="1"/>
    <col min="14594" max="14595" width="12.7109375" customWidth="1"/>
    <col min="14596" max="14596" width="12.85546875" customWidth="1"/>
    <col min="14597" max="14597" width="13.5703125" customWidth="1"/>
    <col min="14598" max="14598" width="12.42578125" customWidth="1"/>
    <col min="14849" max="14849" width="30.140625" customWidth="1"/>
    <col min="14850" max="14851" width="12.7109375" customWidth="1"/>
    <col min="14852" max="14852" width="12.85546875" customWidth="1"/>
    <col min="14853" max="14853" width="13.5703125" customWidth="1"/>
    <col min="14854" max="14854" width="12.42578125" customWidth="1"/>
    <col min="15105" max="15105" width="30.140625" customWidth="1"/>
    <col min="15106" max="15107" width="12.7109375" customWidth="1"/>
    <col min="15108" max="15108" width="12.85546875" customWidth="1"/>
    <col min="15109" max="15109" width="13.5703125" customWidth="1"/>
    <col min="15110" max="15110" width="12.42578125" customWidth="1"/>
    <col min="15361" max="15361" width="30.140625" customWidth="1"/>
    <col min="15362" max="15363" width="12.7109375" customWidth="1"/>
    <col min="15364" max="15364" width="12.85546875" customWidth="1"/>
    <col min="15365" max="15365" width="13.5703125" customWidth="1"/>
    <col min="15366" max="15366" width="12.42578125" customWidth="1"/>
    <col min="15617" max="15617" width="30.140625" customWidth="1"/>
    <col min="15618" max="15619" width="12.7109375" customWidth="1"/>
    <col min="15620" max="15620" width="12.85546875" customWidth="1"/>
    <col min="15621" max="15621" width="13.5703125" customWidth="1"/>
    <col min="15622" max="15622" width="12.42578125" customWidth="1"/>
    <col min="15873" max="15873" width="30.140625" customWidth="1"/>
    <col min="15874" max="15875" width="12.7109375" customWidth="1"/>
    <col min="15876" max="15876" width="12.85546875" customWidth="1"/>
    <col min="15877" max="15877" width="13.5703125" customWidth="1"/>
    <col min="15878" max="15878" width="12.42578125" customWidth="1"/>
    <col min="16129" max="16129" width="30.140625" customWidth="1"/>
    <col min="16130" max="16131" width="12.7109375" customWidth="1"/>
    <col min="16132" max="16132" width="12.85546875" customWidth="1"/>
    <col min="16133" max="16133" width="13.5703125" customWidth="1"/>
    <col min="16134" max="16134" width="12.42578125" customWidth="1"/>
  </cols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8" x14ac:dyDescent="0.25">
      <c r="A2" s="1" t="s">
        <v>5</v>
      </c>
      <c r="B2" s="2">
        <v>40000</v>
      </c>
      <c r="C2" s="2">
        <f t="shared" ref="C2:C13" si="0">+E2-D2</f>
        <v>616.54845511739768</v>
      </c>
      <c r="D2" s="2">
        <f t="shared" ref="D2:D13" si="1">+B2*0.07/12</f>
        <v>233.33333333333337</v>
      </c>
      <c r="E2" s="2">
        <f t="shared" ref="E2:E13" si="2">$H$4</f>
        <v>849.88178845073105</v>
      </c>
      <c r="F2" s="2">
        <f t="shared" ref="F2:F13" si="3">+B2-C2</f>
        <v>39383.451544882599</v>
      </c>
      <c r="G2" t="s">
        <v>54</v>
      </c>
      <c r="H2" s="36">
        <v>0.1</v>
      </c>
    </row>
    <row r="3" spans="1:8" x14ac:dyDescent="0.25">
      <c r="A3" s="1" t="s">
        <v>6</v>
      </c>
      <c r="B3" s="2">
        <f t="shared" ref="B3:B13" si="4">+F2</f>
        <v>39383.451544882599</v>
      </c>
      <c r="C3" s="2">
        <f t="shared" si="0"/>
        <v>620.14498777224924</v>
      </c>
      <c r="D3" s="2">
        <f t="shared" si="1"/>
        <v>229.73680067848184</v>
      </c>
      <c r="E3" s="2">
        <f t="shared" si="2"/>
        <v>849.88178845073105</v>
      </c>
      <c r="F3" s="2">
        <f t="shared" si="3"/>
        <v>38763.306557110351</v>
      </c>
      <c r="G3" t="s">
        <v>55</v>
      </c>
      <c r="H3">
        <f>5*12</f>
        <v>60</v>
      </c>
    </row>
    <row r="4" spans="1:8" x14ac:dyDescent="0.25">
      <c r="A4" s="1" t="s">
        <v>7</v>
      </c>
      <c r="B4" s="2">
        <f t="shared" si="4"/>
        <v>38763.306557110351</v>
      </c>
      <c r="C4" s="2">
        <f t="shared" si="0"/>
        <v>623.76250020092061</v>
      </c>
      <c r="D4" s="2">
        <f t="shared" si="1"/>
        <v>226.11928824981041</v>
      </c>
      <c r="E4" s="2">
        <f t="shared" si="2"/>
        <v>849.88178845073105</v>
      </c>
      <c r="F4" s="2">
        <f t="shared" si="3"/>
        <v>38139.544056909428</v>
      </c>
      <c r="G4" t="s">
        <v>3</v>
      </c>
      <c r="H4" s="6">
        <f>-PMT(H2/12,H3,B2)</f>
        <v>849.88178845073105</v>
      </c>
    </row>
    <row r="5" spans="1:8" x14ac:dyDescent="0.25">
      <c r="A5" s="1" t="s">
        <v>8</v>
      </c>
      <c r="B5" s="2">
        <f t="shared" si="4"/>
        <v>38139.544056909428</v>
      </c>
      <c r="C5" s="2">
        <f t="shared" si="0"/>
        <v>627.40111478542599</v>
      </c>
      <c r="D5" s="2">
        <f t="shared" si="1"/>
        <v>222.48067366530503</v>
      </c>
      <c r="E5" s="2">
        <f t="shared" si="2"/>
        <v>849.88178845073105</v>
      </c>
      <c r="F5" s="2">
        <f t="shared" si="3"/>
        <v>37512.142942124003</v>
      </c>
    </row>
    <row r="6" spans="1:8" x14ac:dyDescent="0.25">
      <c r="A6" s="1" t="s">
        <v>9</v>
      </c>
      <c r="B6" s="2">
        <f t="shared" si="4"/>
        <v>37512.142942124003</v>
      </c>
      <c r="C6" s="2">
        <f t="shared" si="0"/>
        <v>631.06095462167434</v>
      </c>
      <c r="D6" s="2">
        <f t="shared" si="1"/>
        <v>218.82083382905671</v>
      </c>
      <c r="E6" s="2">
        <f t="shared" si="2"/>
        <v>849.88178845073105</v>
      </c>
      <c r="F6" s="2">
        <f t="shared" si="3"/>
        <v>36881.08198750233</v>
      </c>
    </row>
    <row r="7" spans="1:8" x14ac:dyDescent="0.25">
      <c r="A7" s="1" t="s">
        <v>10</v>
      </c>
      <c r="B7" s="2">
        <f t="shared" si="4"/>
        <v>36881.08198750233</v>
      </c>
      <c r="C7" s="2">
        <f t="shared" si="0"/>
        <v>634.74214352363413</v>
      </c>
      <c r="D7" s="2">
        <f t="shared" si="1"/>
        <v>215.13964492709695</v>
      </c>
      <c r="E7" s="2">
        <f t="shared" si="2"/>
        <v>849.88178845073105</v>
      </c>
      <c r="F7" s="2">
        <f t="shared" si="3"/>
        <v>36246.339843978698</v>
      </c>
    </row>
    <row r="8" spans="1:8" x14ac:dyDescent="0.25">
      <c r="A8" s="1" t="s">
        <v>11</v>
      </c>
      <c r="B8" s="2">
        <f t="shared" si="4"/>
        <v>36246.339843978698</v>
      </c>
      <c r="C8" s="2">
        <f t="shared" si="0"/>
        <v>638.44480602752196</v>
      </c>
      <c r="D8" s="2">
        <f t="shared" si="1"/>
        <v>211.43698242320909</v>
      </c>
      <c r="E8" s="2">
        <f t="shared" si="2"/>
        <v>849.88178845073105</v>
      </c>
      <c r="F8" s="2">
        <f t="shared" si="3"/>
        <v>35607.895037951173</v>
      </c>
    </row>
    <row r="9" spans="1:8" x14ac:dyDescent="0.25">
      <c r="A9" s="1" t="s">
        <v>12</v>
      </c>
      <c r="B9" s="2">
        <f t="shared" si="4"/>
        <v>35607.895037951173</v>
      </c>
      <c r="C9" s="2">
        <f t="shared" si="0"/>
        <v>642.16906739601586</v>
      </c>
      <c r="D9" s="2">
        <f t="shared" si="1"/>
        <v>207.71272105471519</v>
      </c>
      <c r="E9" s="2">
        <f t="shared" si="2"/>
        <v>849.88178845073105</v>
      </c>
      <c r="F9" s="2">
        <f t="shared" si="3"/>
        <v>34965.725970555155</v>
      </c>
    </row>
    <row r="10" spans="1:8" x14ac:dyDescent="0.25">
      <c r="A10" s="1" t="s">
        <v>13</v>
      </c>
      <c r="B10" s="2">
        <f t="shared" si="4"/>
        <v>34965.725970555155</v>
      </c>
      <c r="C10" s="2">
        <f t="shared" si="0"/>
        <v>645.91505362249268</v>
      </c>
      <c r="D10" s="2">
        <f t="shared" si="1"/>
        <v>203.9667348282384</v>
      </c>
      <c r="E10" s="2">
        <f t="shared" si="2"/>
        <v>849.88178845073105</v>
      </c>
      <c r="F10" s="2">
        <f t="shared" si="3"/>
        <v>34319.810916932664</v>
      </c>
    </row>
    <row r="11" spans="1:8" x14ac:dyDescent="0.25">
      <c r="A11" s="1" t="s">
        <v>14</v>
      </c>
      <c r="B11" s="2">
        <f t="shared" si="4"/>
        <v>34319.810916932664</v>
      </c>
      <c r="C11" s="2">
        <f t="shared" si="0"/>
        <v>649.68289143529046</v>
      </c>
      <c r="D11" s="2">
        <f t="shared" si="1"/>
        <v>200.19889701544056</v>
      </c>
      <c r="E11" s="2">
        <f t="shared" si="2"/>
        <v>849.88178845073105</v>
      </c>
      <c r="F11" s="2">
        <f t="shared" si="3"/>
        <v>33670.128025497375</v>
      </c>
    </row>
    <row r="12" spans="1:8" x14ac:dyDescent="0.25">
      <c r="A12" s="1" t="s">
        <v>15</v>
      </c>
      <c r="B12" s="2">
        <f t="shared" si="4"/>
        <v>33670.128025497375</v>
      </c>
      <c r="C12" s="2">
        <f t="shared" si="0"/>
        <v>653.47270830199636</v>
      </c>
      <c r="D12" s="2">
        <f t="shared" si="1"/>
        <v>196.40908014873472</v>
      </c>
      <c r="E12" s="2">
        <f t="shared" si="2"/>
        <v>849.88178845073105</v>
      </c>
      <c r="F12" s="2">
        <f t="shared" si="3"/>
        <v>33016.655317195378</v>
      </c>
    </row>
    <row r="13" spans="1:8" x14ac:dyDescent="0.25">
      <c r="A13" s="1" t="s">
        <v>16</v>
      </c>
      <c r="B13" s="2">
        <f t="shared" si="4"/>
        <v>33016.655317195378</v>
      </c>
      <c r="C13" s="2">
        <f t="shared" si="0"/>
        <v>657.28463243375802</v>
      </c>
      <c r="D13" s="2">
        <f t="shared" si="1"/>
        <v>192.59715601697306</v>
      </c>
      <c r="E13" s="2">
        <f t="shared" si="2"/>
        <v>849.88178845073105</v>
      </c>
      <c r="F13" s="3">
        <f t="shared" si="3"/>
        <v>32359.370684761619</v>
      </c>
    </row>
    <row r="14" spans="1:8" x14ac:dyDescent="0.25">
      <c r="A14" s="4" t="s">
        <v>17</v>
      </c>
      <c r="B14" s="4"/>
      <c r="C14" s="3">
        <f>SUM(C2:C13)</f>
        <v>7640.6293152383769</v>
      </c>
      <c r="D14" s="3">
        <f>SUM(D2:D13)</f>
        <v>2557.9521461703953</v>
      </c>
      <c r="E14" s="2"/>
      <c r="F14" s="2"/>
    </row>
    <row r="15" spans="1:8" x14ac:dyDescent="0.25">
      <c r="A15" s="1"/>
      <c r="B15" s="1"/>
      <c r="C15" s="2"/>
      <c r="D15" s="2"/>
      <c r="E15" s="2"/>
      <c r="F15" s="2"/>
    </row>
    <row r="16" spans="1:8" x14ac:dyDescent="0.25">
      <c r="A16" s="1" t="s">
        <v>18</v>
      </c>
      <c r="B16" s="2">
        <f>+F13</f>
        <v>32359.370684761619</v>
      </c>
      <c r="C16" s="2">
        <f t="shared" ref="C16:C27" si="5">+E16-D16</f>
        <v>661.11879278962158</v>
      </c>
      <c r="D16" s="2">
        <f t="shared" ref="D16:D27" si="6">+B16*0.07/12</f>
        <v>188.76299566110947</v>
      </c>
      <c r="E16" s="2">
        <f t="shared" ref="E16:E27" si="7">$H$4</f>
        <v>849.88178845073105</v>
      </c>
      <c r="F16" s="2">
        <f t="shared" ref="F16:F27" si="8">+B16-C16</f>
        <v>31698.251891971999</v>
      </c>
    </row>
    <row r="17" spans="1:6" x14ac:dyDescent="0.25">
      <c r="A17" s="1" t="s">
        <v>19</v>
      </c>
      <c r="B17" s="2">
        <f t="shared" ref="B17:B27" si="9">+F16</f>
        <v>31698.251891971999</v>
      </c>
      <c r="C17" s="2">
        <f t="shared" si="5"/>
        <v>664.97531908089434</v>
      </c>
      <c r="D17" s="2">
        <f t="shared" si="6"/>
        <v>184.90646936983669</v>
      </c>
      <c r="E17" s="2">
        <f t="shared" si="7"/>
        <v>849.88178845073105</v>
      </c>
      <c r="F17" s="2">
        <f t="shared" si="8"/>
        <v>31033.276572891104</v>
      </c>
    </row>
    <row r="18" spans="1:6" x14ac:dyDescent="0.25">
      <c r="A18" s="1" t="s">
        <v>20</v>
      </c>
      <c r="B18" s="2">
        <f t="shared" si="9"/>
        <v>31033.276572891104</v>
      </c>
      <c r="C18" s="2">
        <f t="shared" si="5"/>
        <v>668.85434177553293</v>
      </c>
      <c r="D18" s="2">
        <f t="shared" si="6"/>
        <v>181.02744667519812</v>
      </c>
      <c r="E18" s="2">
        <f t="shared" si="7"/>
        <v>849.88178845073105</v>
      </c>
      <c r="F18" s="2">
        <f t="shared" si="8"/>
        <v>30364.422231115572</v>
      </c>
    </row>
    <row r="19" spans="1:6" x14ac:dyDescent="0.25">
      <c r="A19" s="1" t="s">
        <v>21</v>
      </c>
      <c r="B19" s="2">
        <f t="shared" si="9"/>
        <v>30364.422231115572</v>
      </c>
      <c r="C19" s="2">
        <f t="shared" si="5"/>
        <v>672.75599210255689</v>
      </c>
      <c r="D19" s="2">
        <f t="shared" si="6"/>
        <v>177.12579634817419</v>
      </c>
      <c r="E19" s="2">
        <f t="shared" si="7"/>
        <v>849.88178845073105</v>
      </c>
      <c r="F19" s="2">
        <f t="shared" si="8"/>
        <v>29691.666239013015</v>
      </c>
    </row>
    <row r="20" spans="1:6" x14ac:dyDescent="0.25">
      <c r="A20" s="1" t="s">
        <v>22</v>
      </c>
      <c r="B20" s="2">
        <f t="shared" si="9"/>
        <v>29691.666239013015</v>
      </c>
      <c r="C20" s="2">
        <f t="shared" si="5"/>
        <v>676.68040205648845</v>
      </c>
      <c r="D20" s="2">
        <f t="shared" si="6"/>
        <v>173.2013863942426</v>
      </c>
      <c r="E20" s="2">
        <f t="shared" si="7"/>
        <v>849.88178845073105</v>
      </c>
      <c r="F20" s="2">
        <f t="shared" si="8"/>
        <v>29014.985836956526</v>
      </c>
    </row>
    <row r="21" spans="1:6" x14ac:dyDescent="0.25">
      <c r="A21" s="1" t="s">
        <v>23</v>
      </c>
      <c r="B21" s="2">
        <f t="shared" si="9"/>
        <v>29014.985836956526</v>
      </c>
      <c r="C21" s="2">
        <f t="shared" si="5"/>
        <v>680.62770440181794</v>
      </c>
      <c r="D21" s="2">
        <f t="shared" si="6"/>
        <v>169.25408404891309</v>
      </c>
      <c r="E21" s="2">
        <f t="shared" si="7"/>
        <v>849.88178845073105</v>
      </c>
      <c r="F21" s="2">
        <f t="shared" si="8"/>
        <v>28334.358132554709</v>
      </c>
    </row>
    <row r="22" spans="1:6" x14ac:dyDescent="0.25">
      <c r="A22" s="1" t="s">
        <v>24</v>
      </c>
      <c r="B22" s="2">
        <f t="shared" si="9"/>
        <v>28334.358132554709</v>
      </c>
      <c r="C22" s="2">
        <f t="shared" si="5"/>
        <v>684.59803267749521</v>
      </c>
      <c r="D22" s="2">
        <f t="shared" si="6"/>
        <v>165.28375577323581</v>
      </c>
      <c r="E22" s="2">
        <f t="shared" si="7"/>
        <v>849.88178845073105</v>
      </c>
      <c r="F22" s="2">
        <f t="shared" si="8"/>
        <v>27649.760099877214</v>
      </c>
    </row>
    <row r="23" spans="1:6" x14ac:dyDescent="0.25">
      <c r="A23" s="1" t="s">
        <v>25</v>
      </c>
      <c r="B23" s="2">
        <f t="shared" si="9"/>
        <v>27649.760099877214</v>
      </c>
      <c r="C23" s="2">
        <f t="shared" si="5"/>
        <v>688.59152120144722</v>
      </c>
      <c r="D23" s="2">
        <f t="shared" si="6"/>
        <v>161.29026724928377</v>
      </c>
      <c r="E23" s="2">
        <f t="shared" si="7"/>
        <v>849.88178845073105</v>
      </c>
      <c r="F23" s="2">
        <f t="shared" si="8"/>
        <v>26961.168578675766</v>
      </c>
    </row>
    <row r="24" spans="1:6" x14ac:dyDescent="0.25">
      <c r="A24" s="1" t="s">
        <v>26</v>
      </c>
      <c r="B24" s="2">
        <f t="shared" si="9"/>
        <v>26961.168578675766</v>
      </c>
      <c r="C24" s="2">
        <f t="shared" si="5"/>
        <v>692.60830507512242</v>
      </c>
      <c r="D24" s="2">
        <f t="shared" si="6"/>
        <v>157.27348337560866</v>
      </c>
      <c r="E24" s="2">
        <f t="shared" si="7"/>
        <v>849.88178845073105</v>
      </c>
      <c r="F24" s="2">
        <f t="shared" si="8"/>
        <v>26268.560273600644</v>
      </c>
    </row>
    <row r="25" spans="1:6" x14ac:dyDescent="0.25">
      <c r="A25" s="1" t="s">
        <v>27</v>
      </c>
      <c r="B25" s="2">
        <f t="shared" si="9"/>
        <v>26268.560273600644</v>
      </c>
      <c r="C25" s="2">
        <f t="shared" si="5"/>
        <v>696.64852018806062</v>
      </c>
      <c r="D25" s="2">
        <f t="shared" si="6"/>
        <v>153.23326826267044</v>
      </c>
      <c r="E25" s="2">
        <f t="shared" si="7"/>
        <v>849.88178845073105</v>
      </c>
      <c r="F25" s="2">
        <f t="shared" si="8"/>
        <v>25571.911753412583</v>
      </c>
    </row>
    <row r="26" spans="1:6" x14ac:dyDescent="0.25">
      <c r="A26" s="1" t="s">
        <v>28</v>
      </c>
      <c r="B26" s="2">
        <f t="shared" si="9"/>
        <v>25571.911753412583</v>
      </c>
      <c r="C26" s="2">
        <f t="shared" si="5"/>
        <v>700.71230322249096</v>
      </c>
      <c r="D26" s="2">
        <f t="shared" si="6"/>
        <v>149.16948522824009</v>
      </c>
      <c r="E26" s="2">
        <f t="shared" si="7"/>
        <v>849.88178845073105</v>
      </c>
      <c r="F26" s="2">
        <f t="shared" si="8"/>
        <v>24871.199450190092</v>
      </c>
    </row>
    <row r="27" spans="1:6" x14ac:dyDescent="0.25">
      <c r="A27" s="1" t="s">
        <v>29</v>
      </c>
      <c r="B27" s="2">
        <f t="shared" si="9"/>
        <v>24871.199450190092</v>
      </c>
      <c r="C27" s="2">
        <f t="shared" si="5"/>
        <v>704.79979165795544</v>
      </c>
      <c r="D27" s="2">
        <f t="shared" si="6"/>
        <v>145.08199679277556</v>
      </c>
      <c r="E27" s="2">
        <f t="shared" si="7"/>
        <v>849.88178845073105</v>
      </c>
      <c r="F27" s="3">
        <f t="shared" si="8"/>
        <v>24166.399658532137</v>
      </c>
    </row>
    <row r="28" spans="1:6" x14ac:dyDescent="0.25">
      <c r="A28" s="4" t="s">
        <v>17</v>
      </c>
      <c r="B28" s="4"/>
      <c r="C28" s="3">
        <f>SUM(C16:C27)</f>
        <v>8192.971026229483</v>
      </c>
      <c r="D28" s="3">
        <f>SUM(D16:D27)</f>
        <v>2005.6104351792883</v>
      </c>
      <c r="E28" s="2"/>
      <c r="F28" s="2"/>
    </row>
    <row r="29" spans="1:6" x14ac:dyDescent="0.25">
      <c r="A29" s="1"/>
      <c r="B29" s="1"/>
      <c r="C29" s="2"/>
      <c r="D29" s="2"/>
      <c r="E29" s="2"/>
      <c r="F29" s="2"/>
    </row>
    <row r="30" spans="1:6" x14ac:dyDescent="0.25">
      <c r="A30" s="1" t="s">
        <v>30</v>
      </c>
      <c r="B30" s="2">
        <f>+F27</f>
        <v>24166.399658532137</v>
      </c>
      <c r="C30" s="2">
        <f t="shared" ref="C30:C41" si="10">+E30-D30</f>
        <v>708.91112377596028</v>
      </c>
      <c r="D30" s="2">
        <f t="shared" ref="D30:D41" si="11">+B30*0.07/12</f>
        <v>140.9706646747708</v>
      </c>
      <c r="E30" s="2">
        <f t="shared" ref="E30:E41" si="12">$H$4</f>
        <v>849.88178845073105</v>
      </c>
      <c r="F30" s="2">
        <f t="shared" ref="F30:F41" si="13">+B30-C30</f>
        <v>23457.488534756176</v>
      </c>
    </row>
    <row r="31" spans="1:6" x14ac:dyDescent="0.25">
      <c r="A31" s="1" t="s">
        <v>31</v>
      </c>
      <c r="B31" s="2">
        <f t="shared" ref="B31:B41" si="14">+F30</f>
        <v>23457.488534756176</v>
      </c>
      <c r="C31" s="2">
        <f t="shared" si="10"/>
        <v>713.04643866465335</v>
      </c>
      <c r="D31" s="2">
        <f t="shared" si="11"/>
        <v>136.8353497860777</v>
      </c>
      <c r="E31" s="2">
        <f t="shared" si="12"/>
        <v>849.88178845073105</v>
      </c>
      <c r="F31" s="2">
        <f t="shared" si="13"/>
        <v>22744.442096091523</v>
      </c>
    </row>
    <row r="32" spans="1:6" x14ac:dyDescent="0.25">
      <c r="A32" s="1" t="s">
        <v>32</v>
      </c>
      <c r="B32" s="2">
        <f t="shared" si="14"/>
        <v>22744.442096091523</v>
      </c>
      <c r="C32" s="2">
        <f t="shared" si="10"/>
        <v>717.20587622353048</v>
      </c>
      <c r="D32" s="2">
        <f t="shared" si="11"/>
        <v>132.67591222720057</v>
      </c>
      <c r="E32" s="2">
        <f t="shared" si="12"/>
        <v>849.88178845073105</v>
      </c>
      <c r="F32" s="2">
        <f t="shared" si="13"/>
        <v>22027.236219867991</v>
      </c>
    </row>
    <row r="33" spans="1:6" x14ac:dyDescent="0.25">
      <c r="A33" s="1" t="s">
        <v>33</v>
      </c>
      <c r="B33" s="2">
        <f t="shared" si="14"/>
        <v>22027.236219867991</v>
      </c>
      <c r="C33" s="2">
        <f t="shared" si="10"/>
        <v>721.38957716816776</v>
      </c>
      <c r="D33" s="2">
        <f t="shared" si="11"/>
        <v>128.49221128256329</v>
      </c>
      <c r="E33" s="2">
        <f t="shared" si="12"/>
        <v>849.88178845073105</v>
      </c>
      <c r="F33" s="2">
        <f t="shared" si="13"/>
        <v>21305.846642699824</v>
      </c>
    </row>
    <row r="34" spans="1:6" x14ac:dyDescent="0.25">
      <c r="A34" s="1" t="s">
        <v>34</v>
      </c>
      <c r="B34" s="2">
        <f t="shared" si="14"/>
        <v>21305.846642699824</v>
      </c>
      <c r="C34" s="2">
        <f t="shared" si="10"/>
        <v>725.59768303498208</v>
      </c>
      <c r="D34" s="2">
        <f t="shared" si="11"/>
        <v>124.28410541574898</v>
      </c>
      <c r="E34" s="2">
        <f t="shared" si="12"/>
        <v>849.88178845073105</v>
      </c>
      <c r="F34" s="2">
        <f t="shared" si="13"/>
        <v>20580.248959664841</v>
      </c>
    </row>
    <row r="35" spans="1:6" x14ac:dyDescent="0.25">
      <c r="A35" s="1" t="s">
        <v>35</v>
      </c>
      <c r="B35" s="2">
        <f t="shared" si="14"/>
        <v>20580.248959664841</v>
      </c>
      <c r="C35" s="2">
        <f t="shared" si="10"/>
        <v>729.83033618601951</v>
      </c>
      <c r="D35" s="2">
        <f t="shared" si="11"/>
        <v>120.05145226471159</v>
      </c>
      <c r="E35" s="2">
        <f t="shared" si="12"/>
        <v>849.88178845073105</v>
      </c>
      <c r="F35" s="2">
        <f t="shared" si="13"/>
        <v>19850.418623478821</v>
      </c>
    </row>
    <row r="36" spans="1:6" x14ac:dyDescent="0.25">
      <c r="A36" s="1" t="s">
        <v>36</v>
      </c>
      <c r="B36" s="2">
        <f t="shared" si="14"/>
        <v>19850.418623478821</v>
      </c>
      <c r="C36" s="2">
        <f t="shared" si="10"/>
        <v>734.08767981377127</v>
      </c>
      <c r="D36" s="2">
        <f t="shared" si="11"/>
        <v>115.79410863695979</v>
      </c>
      <c r="E36" s="2">
        <f t="shared" si="12"/>
        <v>849.88178845073105</v>
      </c>
      <c r="F36" s="2">
        <f t="shared" si="13"/>
        <v>19116.330943665049</v>
      </c>
    </row>
    <row r="37" spans="1:6" x14ac:dyDescent="0.25">
      <c r="A37" s="1" t="s">
        <v>37</v>
      </c>
      <c r="B37" s="2">
        <f t="shared" si="14"/>
        <v>19116.330943665049</v>
      </c>
      <c r="C37" s="2">
        <f t="shared" si="10"/>
        <v>738.36985794601821</v>
      </c>
      <c r="D37" s="2">
        <f t="shared" si="11"/>
        <v>111.51193050471279</v>
      </c>
      <c r="E37" s="2">
        <f t="shared" si="12"/>
        <v>849.88178845073105</v>
      </c>
      <c r="F37" s="2">
        <f t="shared" si="13"/>
        <v>18377.961085719031</v>
      </c>
    </row>
    <row r="38" spans="1:6" x14ac:dyDescent="0.25">
      <c r="A38" s="1" t="s">
        <v>38</v>
      </c>
      <c r="B38" s="2">
        <f t="shared" si="14"/>
        <v>18377.961085719031</v>
      </c>
      <c r="C38" s="2">
        <f t="shared" si="10"/>
        <v>742.67701545070338</v>
      </c>
      <c r="D38" s="2">
        <f t="shared" si="11"/>
        <v>107.20477300002769</v>
      </c>
      <c r="E38" s="2">
        <f t="shared" si="12"/>
        <v>849.88178845073105</v>
      </c>
      <c r="F38" s="2">
        <f t="shared" si="13"/>
        <v>17635.284070268328</v>
      </c>
    </row>
    <row r="39" spans="1:6" x14ac:dyDescent="0.25">
      <c r="A39" s="1" t="s">
        <v>39</v>
      </c>
      <c r="B39" s="2">
        <f t="shared" si="14"/>
        <v>17635.284070268328</v>
      </c>
      <c r="C39" s="2">
        <f t="shared" si="10"/>
        <v>747.0092980408325</v>
      </c>
      <c r="D39" s="2">
        <f t="shared" si="11"/>
        <v>102.87249040989859</v>
      </c>
      <c r="E39" s="2">
        <f t="shared" si="12"/>
        <v>849.88178845073105</v>
      </c>
      <c r="F39" s="2">
        <f t="shared" si="13"/>
        <v>16888.274772227494</v>
      </c>
    </row>
    <row r="40" spans="1:6" x14ac:dyDescent="0.25">
      <c r="A40" s="1" t="s">
        <v>40</v>
      </c>
      <c r="B40" s="2">
        <f t="shared" si="14"/>
        <v>16888.274772227494</v>
      </c>
      <c r="C40" s="2">
        <f t="shared" si="10"/>
        <v>751.36685227940393</v>
      </c>
      <c r="D40" s="2">
        <f t="shared" si="11"/>
        <v>98.514936171327065</v>
      </c>
      <c r="E40" s="2">
        <f t="shared" si="12"/>
        <v>849.88178845073105</v>
      </c>
      <c r="F40" s="2">
        <f t="shared" si="13"/>
        <v>16136.907919948091</v>
      </c>
    </row>
    <row r="41" spans="1:6" x14ac:dyDescent="0.25">
      <c r="A41" s="1" t="s">
        <v>41</v>
      </c>
      <c r="B41" s="2">
        <f t="shared" si="14"/>
        <v>16136.907919948091</v>
      </c>
      <c r="C41" s="2">
        <f t="shared" si="10"/>
        <v>755.74982558436716</v>
      </c>
      <c r="D41" s="2">
        <f t="shared" si="11"/>
        <v>94.131962866363878</v>
      </c>
      <c r="E41" s="2">
        <f t="shared" si="12"/>
        <v>849.88178845073105</v>
      </c>
      <c r="F41" s="3">
        <f t="shared" si="13"/>
        <v>15381.158094363724</v>
      </c>
    </row>
    <row r="42" spans="1:6" x14ac:dyDescent="0.25">
      <c r="A42" s="4" t="s">
        <v>17</v>
      </c>
      <c r="B42" s="4"/>
      <c r="C42" s="3">
        <f>SUM(C30:C41)</f>
        <v>8785.2415641684092</v>
      </c>
      <c r="D42" s="3">
        <f>SUM(D30:D41)</f>
        <v>1413.3398972403627</v>
      </c>
      <c r="E42" s="2"/>
      <c r="F42" s="2"/>
    </row>
    <row r="43" spans="1:6" x14ac:dyDescent="0.25">
      <c r="A43" s="1"/>
      <c r="B43" s="1"/>
      <c r="C43" s="2"/>
      <c r="D43" s="2"/>
      <c r="E43" s="2"/>
      <c r="F43" s="2"/>
    </row>
    <row r="44" spans="1:6" x14ac:dyDescent="0.25">
      <c r="A44" s="1" t="s">
        <v>42</v>
      </c>
      <c r="B44" s="2">
        <f>+F41</f>
        <v>15381.158094363724</v>
      </c>
      <c r="C44" s="2">
        <f t="shared" ref="C44:C55" si="15">+E44-D44</f>
        <v>760.15836623360929</v>
      </c>
      <c r="D44" s="2">
        <f t="shared" ref="D44:D55" si="16">+B44*0.07/12</f>
        <v>89.723422217121723</v>
      </c>
      <c r="E44" s="2">
        <f t="shared" ref="E44:E55" si="17">$H$4</f>
        <v>849.88178845073105</v>
      </c>
      <c r="F44" s="2">
        <f t="shared" ref="F44:F55" si="18">+B44-C44</f>
        <v>14620.999728130115</v>
      </c>
    </row>
    <row r="45" spans="1:6" x14ac:dyDescent="0.25">
      <c r="A45" s="1" t="s">
        <v>43</v>
      </c>
      <c r="B45" s="2">
        <f t="shared" ref="B45:B55" si="19">+F44</f>
        <v>14620.999728130115</v>
      </c>
      <c r="C45" s="2">
        <f t="shared" si="15"/>
        <v>764.59262336997199</v>
      </c>
      <c r="D45" s="2">
        <f t="shared" si="16"/>
        <v>85.28916508075902</v>
      </c>
      <c r="E45" s="2">
        <f t="shared" si="17"/>
        <v>849.88178845073105</v>
      </c>
      <c r="F45" s="2">
        <f t="shared" si="18"/>
        <v>13856.407104760143</v>
      </c>
    </row>
    <row r="46" spans="1:6" x14ac:dyDescent="0.25">
      <c r="A46" s="1" t="s">
        <v>44</v>
      </c>
      <c r="B46" s="2">
        <f t="shared" si="19"/>
        <v>13856.407104760143</v>
      </c>
      <c r="C46" s="2">
        <f t="shared" si="15"/>
        <v>769.05274700629684</v>
      </c>
      <c r="D46" s="2">
        <f t="shared" si="16"/>
        <v>80.829041444434168</v>
      </c>
      <c r="E46" s="2">
        <f t="shared" si="17"/>
        <v>849.88178845073105</v>
      </c>
      <c r="F46" s="2">
        <f t="shared" si="18"/>
        <v>13087.354357753846</v>
      </c>
    </row>
    <row r="47" spans="1:6" x14ac:dyDescent="0.25">
      <c r="A47" s="1" t="s">
        <v>45</v>
      </c>
      <c r="B47" s="2">
        <f t="shared" si="19"/>
        <v>13087.354357753846</v>
      </c>
      <c r="C47" s="2">
        <f t="shared" si="15"/>
        <v>773.53888803050029</v>
      </c>
      <c r="D47" s="2">
        <f t="shared" si="16"/>
        <v>76.342900420230777</v>
      </c>
      <c r="E47" s="2">
        <f t="shared" si="17"/>
        <v>849.88178845073105</v>
      </c>
      <c r="F47" s="2">
        <f t="shared" si="18"/>
        <v>12313.815469723346</v>
      </c>
    </row>
    <row r="48" spans="1:6" x14ac:dyDescent="0.25">
      <c r="A48" s="1" t="s">
        <v>46</v>
      </c>
      <c r="B48" s="2">
        <f t="shared" si="19"/>
        <v>12313.815469723346</v>
      </c>
      <c r="C48" s="2">
        <f t="shared" si="15"/>
        <v>778.05119821067819</v>
      </c>
      <c r="D48" s="2">
        <f t="shared" si="16"/>
        <v>71.830590240052857</v>
      </c>
      <c r="E48" s="2">
        <f t="shared" si="17"/>
        <v>849.88178845073105</v>
      </c>
      <c r="F48" s="2">
        <f t="shared" si="18"/>
        <v>11535.764271512668</v>
      </c>
    </row>
    <row r="49" spans="1:7" x14ac:dyDescent="0.25">
      <c r="A49" s="1" t="s">
        <v>47</v>
      </c>
      <c r="B49" s="2">
        <f t="shared" si="19"/>
        <v>11535.764271512668</v>
      </c>
      <c r="C49" s="2">
        <f t="shared" si="15"/>
        <v>782.5898302002405</v>
      </c>
      <c r="D49" s="2">
        <f t="shared" si="16"/>
        <v>67.291958250490566</v>
      </c>
      <c r="E49" s="2">
        <f t="shared" si="17"/>
        <v>849.88178845073105</v>
      </c>
      <c r="F49" s="2">
        <f t="shared" si="18"/>
        <v>10753.174441312427</v>
      </c>
    </row>
    <row r="50" spans="1:7" x14ac:dyDescent="0.25">
      <c r="A50" s="1" t="s">
        <v>48</v>
      </c>
      <c r="B50" s="2">
        <f t="shared" si="19"/>
        <v>10753.174441312427</v>
      </c>
      <c r="C50" s="2">
        <f t="shared" si="15"/>
        <v>787.15493754307522</v>
      </c>
      <c r="D50" s="2">
        <f t="shared" si="16"/>
        <v>62.72685090765583</v>
      </c>
      <c r="E50" s="2">
        <f t="shared" si="17"/>
        <v>849.88178845073105</v>
      </c>
      <c r="F50" s="2">
        <f t="shared" si="18"/>
        <v>9966.019503769352</v>
      </c>
    </row>
    <row r="51" spans="1:7" x14ac:dyDescent="0.25">
      <c r="A51" s="1" t="s">
        <v>49</v>
      </c>
      <c r="B51" s="2">
        <f t="shared" si="19"/>
        <v>9966.019503769352</v>
      </c>
      <c r="C51" s="2">
        <f t="shared" si="15"/>
        <v>791.74667467874315</v>
      </c>
      <c r="D51" s="2">
        <f t="shared" si="16"/>
        <v>58.135113771987896</v>
      </c>
      <c r="E51" s="2">
        <f t="shared" si="17"/>
        <v>849.88178845073105</v>
      </c>
      <c r="F51" s="2">
        <f t="shared" si="18"/>
        <v>9174.2728290906089</v>
      </c>
    </row>
    <row r="52" spans="1:7" x14ac:dyDescent="0.25">
      <c r="A52" s="1" t="s">
        <v>50</v>
      </c>
      <c r="B52" s="2">
        <f t="shared" si="19"/>
        <v>9174.2728290906089</v>
      </c>
      <c r="C52" s="2">
        <f t="shared" si="15"/>
        <v>796.36519694770254</v>
      </c>
      <c r="D52" s="2">
        <f t="shared" si="16"/>
        <v>53.516591503028557</v>
      </c>
      <c r="E52" s="2">
        <f t="shared" si="17"/>
        <v>849.88178845073105</v>
      </c>
      <c r="F52" s="2">
        <f t="shared" si="18"/>
        <v>8377.9076321429056</v>
      </c>
    </row>
    <row r="53" spans="1:7" x14ac:dyDescent="0.25">
      <c r="A53" s="1" t="s">
        <v>51</v>
      </c>
      <c r="B53" s="2">
        <f t="shared" si="19"/>
        <v>8377.9076321429056</v>
      </c>
      <c r="C53" s="2">
        <f t="shared" si="15"/>
        <v>801.01066059656409</v>
      </c>
      <c r="D53" s="2">
        <f t="shared" si="16"/>
        <v>48.871127854166957</v>
      </c>
      <c r="E53" s="2">
        <f t="shared" si="17"/>
        <v>849.88178845073105</v>
      </c>
      <c r="F53" s="2">
        <f t="shared" si="18"/>
        <v>7576.8969715463418</v>
      </c>
    </row>
    <row r="54" spans="1:7" x14ac:dyDescent="0.25">
      <c r="A54" s="1" t="s">
        <v>52</v>
      </c>
      <c r="B54" s="2">
        <f t="shared" si="19"/>
        <v>7576.8969715463418</v>
      </c>
      <c r="C54" s="2">
        <f t="shared" si="15"/>
        <v>805.68322278337735</v>
      </c>
      <c r="D54" s="2">
        <f t="shared" si="16"/>
        <v>44.19856566735367</v>
      </c>
      <c r="E54" s="2">
        <f t="shared" si="17"/>
        <v>849.88178845073105</v>
      </c>
      <c r="F54" s="2">
        <f t="shared" si="18"/>
        <v>6771.2137487629643</v>
      </c>
    </row>
    <row r="55" spans="1:7" x14ac:dyDescent="0.25">
      <c r="A55" s="1" t="s">
        <v>53</v>
      </c>
      <c r="B55" s="2">
        <f t="shared" si="19"/>
        <v>6771.2137487629643</v>
      </c>
      <c r="C55" s="2">
        <f t="shared" si="15"/>
        <v>810.38304158294704</v>
      </c>
      <c r="D55" s="2">
        <f t="shared" si="16"/>
        <v>39.498746867783964</v>
      </c>
      <c r="E55" s="2">
        <f t="shared" si="17"/>
        <v>849.88178845073105</v>
      </c>
      <c r="F55" s="3">
        <f t="shared" si="18"/>
        <v>5960.8307071800173</v>
      </c>
      <c r="G55" s="2"/>
    </row>
    <row r="56" spans="1:7" x14ac:dyDescent="0.25">
      <c r="A56" s="4" t="s">
        <v>17</v>
      </c>
      <c r="B56" s="5"/>
      <c r="C56" s="3">
        <f>SUM(C44:C55)</f>
        <v>9420.3273871837046</v>
      </c>
      <c r="D56" s="3">
        <f>SUM(D44:D55)</f>
        <v>778.25407422506601</v>
      </c>
    </row>
  </sheetData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F35" sqref="F35"/>
    </sheetView>
  </sheetViews>
  <sheetFormatPr defaultRowHeight="15" x14ac:dyDescent="0.25"/>
  <cols>
    <col min="2" max="2" width="25.5703125" bestFit="1" customWidth="1"/>
  </cols>
  <sheetData>
    <row r="1" spans="1:5" x14ac:dyDescent="0.25">
      <c r="A1" s="43" t="s">
        <v>137</v>
      </c>
      <c r="B1" s="44"/>
      <c r="C1">
        <f>C3/(1+(1-C4)*(C5/C6))</f>
        <v>0.30909090909090908</v>
      </c>
    </row>
    <row r="3" spans="1:5" x14ac:dyDescent="0.25">
      <c r="B3" t="s">
        <v>138</v>
      </c>
      <c r="C3">
        <v>1.36</v>
      </c>
    </row>
    <row r="4" spans="1:5" x14ac:dyDescent="0.25">
      <c r="B4" t="s">
        <v>139</v>
      </c>
      <c r="C4" s="36">
        <v>0.15</v>
      </c>
    </row>
    <row r="5" spans="1:5" x14ac:dyDescent="0.25">
      <c r="B5" t="s">
        <v>140</v>
      </c>
      <c r="C5">
        <v>80</v>
      </c>
    </row>
    <row r="6" spans="1:5" x14ac:dyDescent="0.25">
      <c r="B6" t="s">
        <v>141</v>
      </c>
      <c r="C6">
        <v>20</v>
      </c>
    </row>
    <row r="9" spans="1:5" x14ac:dyDescent="0.25">
      <c r="A9" s="43" t="s">
        <v>142</v>
      </c>
      <c r="B9" s="44"/>
      <c r="C9">
        <f>(1+(1-C12)*(C13/C14))*C11</f>
        <v>0.92212121212121212</v>
      </c>
    </row>
    <row r="11" spans="1:5" x14ac:dyDescent="0.25">
      <c r="B11" t="s">
        <v>143</v>
      </c>
      <c r="C11">
        <f>C1</f>
        <v>0.30909090909090908</v>
      </c>
    </row>
    <row r="12" spans="1:5" x14ac:dyDescent="0.25">
      <c r="B12" t="s">
        <v>139</v>
      </c>
      <c r="C12" s="9">
        <v>0.15</v>
      </c>
    </row>
    <row r="13" spans="1:5" x14ac:dyDescent="0.25">
      <c r="B13" t="s">
        <v>140</v>
      </c>
      <c r="C13">
        <v>70</v>
      </c>
      <c r="E13" t="s">
        <v>144</v>
      </c>
    </row>
    <row r="14" spans="1:5" x14ac:dyDescent="0.25">
      <c r="B14" t="s">
        <v>141</v>
      </c>
      <c r="C14">
        <v>30</v>
      </c>
    </row>
    <row r="17" spans="1:4" x14ac:dyDescent="0.25">
      <c r="A17" s="45" t="s">
        <v>145</v>
      </c>
      <c r="D17" s="46">
        <f>C18+C25</f>
        <v>7.404498181818181E-2</v>
      </c>
    </row>
    <row r="18" spans="1:4" x14ac:dyDescent="0.25">
      <c r="B18" s="45" t="s">
        <v>146</v>
      </c>
      <c r="C18" s="47">
        <f>(1-C19)*C20*(C21/C22)</f>
        <v>5.9499999999999997E-2</v>
      </c>
    </row>
    <row r="19" spans="1:4" x14ac:dyDescent="0.25">
      <c r="B19" t="s">
        <v>139</v>
      </c>
      <c r="C19" s="47">
        <v>0.15</v>
      </c>
    </row>
    <row r="20" spans="1:4" x14ac:dyDescent="0.25">
      <c r="B20" t="s">
        <v>147</v>
      </c>
      <c r="C20" s="47">
        <v>0.1</v>
      </c>
    </row>
    <row r="21" spans="1:4" x14ac:dyDescent="0.25">
      <c r="B21" t="s">
        <v>148</v>
      </c>
      <c r="C21">
        <f>C13</f>
        <v>70</v>
      </c>
    </row>
    <row r="22" spans="1:4" x14ac:dyDescent="0.25">
      <c r="B22" t="s">
        <v>149</v>
      </c>
      <c r="C22">
        <f>C13+C14</f>
        <v>100</v>
      </c>
    </row>
    <row r="23" spans="1:4" x14ac:dyDescent="0.25">
      <c r="C23" s="47"/>
    </row>
    <row r="25" spans="1:4" x14ac:dyDescent="0.25">
      <c r="B25" s="45" t="s">
        <v>150</v>
      </c>
      <c r="C25" s="47">
        <f>C26*(C27/C28)</f>
        <v>1.4544981818181816E-2</v>
      </c>
    </row>
    <row r="26" spans="1:4" x14ac:dyDescent="0.25">
      <c r="B26" t="s">
        <v>151</v>
      </c>
      <c r="C26" s="47">
        <f>C33+(C32*C29)</f>
        <v>4.8483272727272722E-2</v>
      </c>
    </row>
    <row r="27" spans="1:4" x14ac:dyDescent="0.25">
      <c r="B27" t="s">
        <v>152</v>
      </c>
      <c r="C27">
        <f>C14</f>
        <v>30</v>
      </c>
    </row>
    <row r="28" spans="1:4" x14ac:dyDescent="0.25">
      <c r="B28" t="s">
        <v>153</v>
      </c>
      <c r="C28">
        <f>C13+C14</f>
        <v>100</v>
      </c>
    </row>
    <row r="29" spans="1:4" x14ac:dyDescent="0.25">
      <c r="B29" t="s">
        <v>154</v>
      </c>
      <c r="C29" s="47">
        <f>C30-C31</f>
        <v>3.3599999999999998E-2</v>
      </c>
    </row>
    <row r="30" spans="1:4" x14ac:dyDescent="0.25">
      <c r="B30" t="s">
        <v>155</v>
      </c>
      <c r="C30" s="48">
        <v>5.11E-2</v>
      </c>
    </row>
    <row r="31" spans="1:4" x14ac:dyDescent="0.25">
      <c r="B31" t="s">
        <v>156</v>
      </c>
      <c r="C31" s="47">
        <v>1.7500000000000002E-2</v>
      </c>
    </row>
    <row r="32" spans="1:4" x14ac:dyDescent="0.25">
      <c r="B32" t="s">
        <v>157</v>
      </c>
      <c r="C32">
        <f>C9</f>
        <v>0.92212121212121212</v>
      </c>
    </row>
    <row r="33" spans="2:3" x14ac:dyDescent="0.25">
      <c r="B33" t="s">
        <v>158</v>
      </c>
      <c r="C33" s="47">
        <f>C31</f>
        <v>1.7500000000000002E-2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</vt:lpstr>
      <vt:lpstr>Mortgage</vt:lpstr>
      <vt:lpstr>Historic WACC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2013-12-18T19:46:40Z</dcterms:created>
  <dcterms:modified xsi:type="dcterms:W3CDTF">2019-05-17T20:47:05Z</dcterms:modified>
</cp:coreProperties>
</file>