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0" windowWidth="19440" windowHeight="11760" activeTab="4"/>
  </bookViews>
  <sheets>
    <sheet name="Assumptions" sheetId="3" r:id="rId1"/>
    <sheet name="Financial Statements" sheetId="1" r:id="rId2"/>
    <sheet name="Mortgage" sheetId="2" r:id="rId3"/>
    <sheet name="WACC" sheetId="4" r:id="rId4"/>
    <sheet name="FCF, NPV, IRR" sheetId="5" r:id="rId5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2" i="5" l="1"/>
  <c r="E15" i="5"/>
  <c r="F10" i="3"/>
  <c r="G10" i="3" s="1"/>
  <c r="H10" i="3" s="1"/>
  <c r="I10" i="3" s="1"/>
  <c r="F8" i="3"/>
  <c r="D34" i="1"/>
  <c r="D11" i="5" s="1"/>
  <c r="E7" i="3"/>
  <c r="E6" i="3" s="1"/>
  <c r="E5" i="3" s="1"/>
  <c r="E18" i="3" s="1"/>
  <c r="D10" i="1" s="1"/>
  <c r="E29" i="3"/>
  <c r="D17" i="1"/>
  <c r="E5" i="5" s="1"/>
  <c r="F28" i="3"/>
  <c r="F29" i="3" s="1"/>
  <c r="G17" i="1" s="1"/>
  <c r="F5" i="5" s="1"/>
  <c r="C45" i="4"/>
  <c r="C36" i="4" s="1"/>
  <c r="D20" i="4"/>
  <c r="E32" i="3"/>
  <c r="J4" i="2" s="1"/>
  <c r="E52" i="4"/>
  <c r="G52" i="4" s="1"/>
  <c r="G69" i="4" s="1"/>
  <c r="E51" i="4"/>
  <c r="G51" i="4"/>
  <c r="C69" i="4"/>
  <c r="C68" i="4"/>
  <c r="C7" i="4"/>
  <c r="E7" i="4" s="1"/>
  <c r="C6" i="4"/>
  <c r="A43" i="3"/>
  <c r="A42" i="3"/>
  <c r="A41" i="3"/>
  <c r="A40" i="3"/>
  <c r="A39" i="3"/>
  <c r="BB45" i="1"/>
  <c r="AY45" i="1"/>
  <c r="AV45" i="1"/>
  <c r="F34" i="1"/>
  <c r="J2" i="2"/>
  <c r="J1" i="2"/>
  <c r="P17" i="4"/>
  <c r="BA45" i="1"/>
  <c r="AZ45" i="1"/>
  <c r="AI15" i="4"/>
  <c r="AJ16" i="4"/>
  <c r="AX45" i="1"/>
  <c r="AW45" i="1"/>
  <c r="AU45" i="1"/>
  <c r="AT45" i="1"/>
  <c r="F31" i="3"/>
  <c r="G31" i="3"/>
  <c r="L49" i="1" s="1"/>
  <c r="H34" i="1"/>
  <c r="H49" i="1"/>
  <c r="E34" i="1"/>
  <c r="Z15" i="4"/>
  <c r="AB15" i="4"/>
  <c r="AD15" i="4"/>
  <c r="AF15" i="4"/>
  <c r="AH15" i="4"/>
  <c r="P20" i="4"/>
  <c r="R20" i="4"/>
  <c r="T20" i="4"/>
  <c r="V20" i="4"/>
  <c r="X20" i="4"/>
  <c r="Z20" i="4"/>
  <c r="AB20" i="4"/>
  <c r="AD20" i="4"/>
  <c r="AF20" i="4"/>
  <c r="AH20" i="4"/>
  <c r="AJ20" i="4"/>
  <c r="O25" i="4"/>
  <c r="O63" i="4" s="1"/>
  <c r="Q25" i="4"/>
  <c r="Q63" i="4" s="1"/>
  <c r="S25" i="4"/>
  <c r="S63" i="4" s="1"/>
  <c r="U25" i="4"/>
  <c r="U63" i="4"/>
  <c r="W25" i="4"/>
  <c r="W63" i="4" s="1"/>
  <c r="Y25" i="4"/>
  <c r="Y63" i="4"/>
  <c r="AA25" i="4"/>
  <c r="AA63" i="4" s="1"/>
  <c r="AC25" i="4"/>
  <c r="AC63" i="4" s="1"/>
  <c r="AE25" i="4"/>
  <c r="AE63" i="4" s="1"/>
  <c r="AG25" i="4"/>
  <c r="AG63" i="4" s="1"/>
  <c r="AI25" i="4"/>
  <c r="AI63" i="4" s="1"/>
  <c r="H20" i="4"/>
  <c r="J20" i="4"/>
  <c r="L20" i="4"/>
  <c r="N20" i="4"/>
  <c r="G25" i="4"/>
  <c r="G63" i="4" s="1"/>
  <c r="I25" i="4"/>
  <c r="I63" i="4" s="1"/>
  <c r="K25" i="4"/>
  <c r="K63" i="4" s="1"/>
  <c r="M25" i="4"/>
  <c r="M63" i="4" s="1"/>
  <c r="F20" i="4"/>
  <c r="E25" i="4"/>
  <c r="E63" i="4" s="1"/>
  <c r="E68" i="4"/>
  <c r="C60" i="4"/>
  <c r="C25" i="4"/>
  <c r="C63" i="4" s="1"/>
  <c r="AZ18" i="1"/>
  <c r="AW18" i="1"/>
  <c r="I52" i="4"/>
  <c r="K52" i="4" s="1"/>
  <c r="E69" i="4"/>
  <c r="F17" i="4"/>
  <c r="R17" i="4"/>
  <c r="I69" i="4"/>
  <c r="AH17" i="4"/>
  <c r="H17" i="4"/>
  <c r="Z17" i="4"/>
  <c r="D17" i="4"/>
  <c r="L17" i="4"/>
  <c r="AD17" i="4"/>
  <c r="V17" i="4"/>
  <c r="E49" i="1"/>
  <c r="G49" i="1"/>
  <c r="I34" i="1"/>
  <c r="G34" i="1"/>
  <c r="F49" i="1"/>
  <c r="I49" i="1"/>
  <c r="J49" i="1"/>
  <c r="N17" i="4"/>
  <c r="J17" i="4"/>
  <c r="AJ17" i="4"/>
  <c r="AF17" i="4"/>
  <c r="AB17" i="4"/>
  <c r="X17" i="4"/>
  <c r="T17" i="4"/>
  <c r="X15" i="4"/>
  <c r="AG15" i="4"/>
  <c r="AH16" i="4" s="1"/>
  <c r="D49" i="1"/>
  <c r="F32" i="3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E35" i="1"/>
  <c r="F35" i="1"/>
  <c r="D35" i="1"/>
  <c r="G35" i="1"/>
  <c r="D137" i="2"/>
  <c r="D157" i="2"/>
  <c r="D193" i="2"/>
  <c r="C3" i="2"/>
  <c r="C21" i="2"/>
  <c r="C59" i="2"/>
  <c r="C77" i="2"/>
  <c r="C95" i="2"/>
  <c r="C133" i="2"/>
  <c r="C151" i="2"/>
  <c r="C171" i="2"/>
  <c r="C207" i="2"/>
  <c r="D36" i="1"/>
  <c r="D115" i="2"/>
  <c r="D142" i="2"/>
  <c r="D67" i="2"/>
  <c r="D31" i="2"/>
  <c r="H35" i="1"/>
  <c r="C209" i="2"/>
  <c r="C191" i="2"/>
  <c r="C173" i="2"/>
  <c r="C135" i="2"/>
  <c r="C117" i="2"/>
  <c r="C97" i="2"/>
  <c r="C79" i="2"/>
  <c r="C61" i="2"/>
  <c r="C41" i="2"/>
  <c r="C23" i="2"/>
  <c r="C5" i="2"/>
  <c r="D195" i="2"/>
  <c r="D177" i="2"/>
  <c r="D159" i="2"/>
  <c r="D139" i="2"/>
  <c r="D121" i="2"/>
  <c r="D103" i="2"/>
  <c r="D83" i="2"/>
  <c r="D65" i="2"/>
  <c r="D47" i="2"/>
  <c r="D27" i="2"/>
  <c r="D2" i="2"/>
  <c r="C202" i="2"/>
  <c r="C192" i="2"/>
  <c r="C184" i="2"/>
  <c r="C174" i="2"/>
  <c r="C164" i="2"/>
  <c r="C156" i="2"/>
  <c r="C146" i="2"/>
  <c r="C134" i="2"/>
  <c r="C124" i="2"/>
  <c r="C116" i="2"/>
  <c r="C106" i="2"/>
  <c r="C90" i="2"/>
  <c r="C80" i="2"/>
  <c r="C72" i="2"/>
  <c r="C62" i="2"/>
  <c r="C52" i="2"/>
  <c r="C50" i="2"/>
  <c r="C44" i="2"/>
  <c r="C40" i="2"/>
  <c r="C34" i="2"/>
  <c r="C32" i="2"/>
  <c r="C24" i="2"/>
  <c r="C22" i="2"/>
  <c r="C16" i="2"/>
  <c r="C12" i="2"/>
  <c r="C6" i="2"/>
  <c r="E6" i="2" s="1"/>
  <c r="C4" i="2"/>
  <c r="D208" i="2"/>
  <c r="D202" i="2"/>
  <c r="D200" i="2"/>
  <c r="D194" i="2"/>
  <c r="D192" i="2"/>
  <c r="D188" i="2"/>
  <c r="D186" i="2"/>
  <c r="D184" i="2"/>
  <c r="D178" i="2"/>
  <c r="D176" i="2"/>
  <c r="D174" i="2"/>
  <c r="D170" i="2"/>
  <c r="D166" i="2"/>
  <c r="D164" i="2"/>
  <c r="D160" i="2"/>
  <c r="D158" i="2"/>
  <c r="D156" i="2"/>
  <c r="D150" i="2"/>
  <c r="D148" i="2"/>
  <c r="D146" i="2"/>
  <c r="D138" i="2"/>
  <c r="D136" i="2"/>
  <c r="D134" i="2"/>
  <c r="D130" i="2"/>
  <c r="D128" i="2"/>
  <c r="D124" i="2"/>
  <c r="D122" i="2"/>
  <c r="D120" i="2"/>
  <c r="D118" i="2"/>
  <c r="D116" i="2"/>
  <c r="D114" i="2"/>
  <c r="D110" i="2"/>
  <c r="D108" i="2"/>
  <c r="D106" i="2"/>
  <c r="D104" i="2"/>
  <c r="D102" i="2"/>
  <c r="D100" i="2"/>
  <c r="D96" i="2"/>
  <c r="D94" i="2"/>
  <c r="D92" i="2"/>
  <c r="D90" i="2"/>
  <c r="D88" i="2"/>
  <c r="D86" i="2"/>
  <c r="D82" i="2"/>
  <c r="D80" i="2"/>
  <c r="D78" i="2"/>
  <c r="D76" i="2"/>
  <c r="D74" i="2"/>
  <c r="D72" i="2"/>
  <c r="D68" i="2"/>
  <c r="D66" i="2"/>
  <c r="D64" i="2"/>
  <c r="D62" i="2"/>
  <c r="D60" i="2"/>
  <c r="D58" i="2"/>
  <c r="D54" i="2"/>
  <c r="D52" i="2"/>
  <c r="D50" i="2"/>
  <c r="D48" i="2"/>
  <c r="D46" i="2"/>
  <c r="D44" i="2"/>
  <c r="D40" i="2"/>
  <c r="D38" i="2"/>
  <c r="D36" i="2"/>
  <c r="D34" i="2"/>
  <c r="D32" i="2"/>
  <c r="D30" i="2"/>
  <c r="D26" i="2"/>
  <c r="D24" i="2"/>
  <c r="D22" i="2"/>
  <c r="D17" i="2"/>
  <c r="D7" i="2"/>
  <c r="D21" i="2"/>
  <c r="D19" i="2"/>
  <c r="D13" i="2"/>
  <c r="D9" i="2"/>
  <c r="D5" i="2"/>
  <c r="D18" i="2"/>
  <c r="D16" i="2"/>
  <c r="D12" i="2"/>
  <c r="D10" i="2"/>
  <c r="D8" i="2"/>
  <c r="D6" i="2"/>
  <c r="I35" i="1"/>
  <c r="I36" i="1"/>
  <c r="F36" i="1"/>
  <c r="G36" i="1"/>
  <c r="H46" i="1"/>
  <c r="E3" i="2" l="1"/>
  <c r="E6" i="4"/>
  <c r="C8" i="4"/>
  <c r="C61" i="4" s="1"/>
  <c r="D3" i="2"/>
  <c r="D81" i="2"/>
  <c r="D119" i="2"/>
  <c r="D126" i="2" s="1"/>
  <c r="AB18" i="1" s="1"/>
  <c r="D143" i="2"/>
  <c r="D161" i="2"/>
  <c r="D179" i="2"/>
  <c r="D199" i="2"/>
  <c r="C7" i="2"/>
  <c r="C25" i="2"/>
  <c r="C45" i="2"/>
  <c r="C56" i="2" s="1"/>
  <c r="C63" i="2"/>
  <c r="C81" i="2"/>
  <c r="C101" i="2"/>
  <c r="C119" i="2"/>
  <c r="C137" i="2"/>
  <c r="C157" i="2"/>
  <c r="C175" i="2"/>
  <c r="C193" i="2"/>
  <c r="B2" i="2"/>
  <c r="F2" i="2" s="1"/>
  <c r="B3" i="2" s="1"/>
  <c r="F3" i="2" s="1"/>
  <c r="B4" i="2" s="1"/>
  <c r="F4" i="2" s="1"/>
  <c r="B5" i="2" s="1"/>
  <c r="F5" i="2" s="1"/>
  <c r="B6" i="2" s="1"/>
  <c r="F6" i="2" s="1"/>
  <c r="B7" i="2" s="1"/>
  <c r="F7" i="2" s="1"/>
  <c r="B8" i="2" s="1"/>
  <c r="F8" i="2" s="1"/>
  <c r="B9" i="2" s="1"/>
  <c r="F9" i="2" s="1"/>
  <c r="B10" i="2" s="1"/>
  <c r="F10" i="2" s="1"/>
  <c r="B11" i="2" s="1"/>
  <c r="D105" i="2"/>
  <c r="D63" i="2"/>
  <c r="C142" i="2"/>
  <c r="D59" i="2"/>
  <c r="C205" i="2"/>
  <c r="C187" i="2"/>
  <c r="C167" i="2"/>
  <c r="C149" i="2"/>
  <c r="C154" i="2" s="1"/>
  <c r="C131" i="2"/>
  <c r="C111" i="2"/>
  <c r="C93" i="2"/>
  <c r="C75" i="2"/>
  <c r="C55" i="2"/>
  <c r="C37" i="2"/>
  <c r="C19" i="2"/>
  <c r="D209" i="2"/>
  <c r="D191" i="2"/>
  <c r="D173" i="2"/>
  <c r="D153" i="2"/>
  <c r="D135" i="2"/>
  <c r="D117" i="2"/>
  <c r="D97" i="2"/>
  <c r="D79" i="2"/>
  <c r="D61" i="2"/>
  <c r="D41" i="2"/>
  <c r="D23" i="2"/>
  <c r="C208" i="2"/>
  <c r="C200" i="2"/>
  <c r="C190" i="2"/>
  <c r="C180" i="2"/>
  <c r="C172" i="2"/>
  <c r="C162" i="2"/>
  <c r="C152" i="2"/>
  <c r="C144" i="2"/>
  <c r="C132" i="2"/>
  <c r="C122" i="2"/>
  <c r="C114" i="2"/>
  <c r="C104" i="2"/>
  <c r="C96" i="2"/>
  <c r="C88" i="2"/>
  <c r="C78" i="2"/>
  <c r="C68" i="2"/>
  <c r="C60" i="2"/>
  <c r="D25" i="2"/>
  <c r="D28" i="2" s="1"/>
  <c r="G18" i="1" s="1"/>
  <c r="D35" i="2"/>
  <c r="D91" i="2"/>
  <c r="D129" i="2"/>
  <c r="D147" i="2"/>
  <c r="D165" i="2"/>
  <c r="D185" i="2"/>
  <c r="D203" i="2"/>
  <c r="C11" i="2"/>
  <c r="C31" i="2"/>
  <c r="C49" i="2"/>
  <c r="C67" i="2"/>
  <c r="C87" i="2"/>
  <c r="C105" i="2"/>
  <c r="C123" i="2"/>
  <c r="C143" i="2"/>
  <c r="C161" i="2"/>
  <c r="C168" i="2" s="1"/>
  <c r="C179" i="2"/>
  <c r="C199" i="2"/>
  <c r="D95" i="2"/>
  <c r="D45" i="2"/>
  <c r="D56" i="2" s="1"/>
  <c r="M18" i="1" s="1"/>
  <c r="D49" i="2"/>
  <c r="D4" i="2"/>
  <c r="C201" i="2"/>
  <c r="C181" i="2"/>
  <c r="C163" i="2"/>
  <c r="C145" i="2"/>
  <c r="C125" i="2"/>
  <c r="C107" i="2"/>
  <c r="C89" i="2"/>
  <c r="C69" i="2"/>
  <c r="C51" i="2"/>
  <c r="C33" i="2"/>
  <c r="C13" i="2"/>
  <c r="D205" i="2"/>
  <c r="D187" i="2"/>
  <c r="D167" i="2"/>
  <c r="D168" i="2" s="1"/>
  <c r="AK18" i="1" s="1"/>
  <c r="D149" i="2"/>
  <c r="D131" i="2"/>
  <c r="D111" i="2"/>
  <c r="D93" i="2"/>
  <c r="D75" i="2"/>
  <c r="D55" i="2"/>
  <c r="D37" i="2"/>
  <c r="D11" i="2"/>
  <c r="D14" i="2" s="1"/>
  <c r="D18" i="1" s="1"/>
  <c r="C206" i="2"/>
  <c r="C198" i="2"/>
  <c r="C188" i="2"/>
  <c r="C178" i="2"/>
  <c r="C170" i="2"/>
  <c r="C182" i="2" s="1"/>
  <c r="C160" i="2"/>
  <c r="C150" i="2"/>
  <c r="C138" i="2"/>
  <c r="C130" i="2"/>
  <c r="C120" i="2"/>
  <c r="C110" i="2"/>
  <c r="C102" i="2"/>
  <c r="C94" i="2"/>
  <c r="C86" i="2"/>
  <c r="C76" i="2"/>
  <c r="C66" i="2"/>
  <c r="C58" i="2"/>
  <c r="C48" i="2"/>
  <c r="C38" i="2"/>
  <c r="C30" i="2"/>
  <c r="C42" i="2" s="1"/>
  <c r="C20" i="2"/>
  <c r="C10" i="2"/>
  <c r="C2" i="2"/>
  <c r="D206" i="2"/>
  <c r="D198" i="2"/>
  <c r="D190" i="2"/>
  <c r="D180" i="2"/>
  <c r="D172" i="2"/>
  <c r="D182" i="2" s="1"/>
  <c r="AN18" i="1" s="1"/>
  <c r="D162" i="2"/>
  <c r="D152" i="2"/>
  <c r="D144" i="2"/>
  <c r="D132" i="2"/>
  <c r="D53" i="2"/>
  <c r="D101" i="2"/>
  <c r="D133" i="2"/>
  <c r="D151" i="2"/>
  <c r="D171" i="2"/>
  <c r="D189" i="2"/>
  <c r="D207" i="2"/>
  <c r="C17" i="2"/>
  <c r="C35" i="2"/>
  <c r="C53" i="2"/>
  <c r="C73" i="2"/>
  <c r="C91" i="2"/>
  <c r="C109" i="2"/>
  <c r="C129" i="2"/>
  <c r="C147" i="2"/>
  <c r="C165" i="2"/>
  <c r="C185" i="2"/>
  <c r="C203" i="2"/>
  <c r="D123" i="2"/>
  <c r="D87" i="2"/>
  <c r="D98" i="2" s="1"/>
  <c r="V18" i="1" s="1"/>
  <c r="D20" i="2"/>
  <c r="D39" i="2"/>
  <c r="J6" i="2"/>
  <c r="C195" i="2"/>
  <c r="C177" i="2"/>
  <c r="C159" i="2"/>
  <c r="C139" i="2"/>
  <c r="C121" i="2"/>
  <c r="C126" i="2" s="1"/>
  <c r="C103" i="2"/>
  <c r="C83" i="2"/>
  <c r="C65" i="2"/>
  <c r="C47" i="2"/>
  <c r="C27" i="2"/>
  <c r="C9" i="2"/>
  <c r="D201" i="2"/>
  <c r="D181" i="2"/>
  <c r="D163" i="2"/>
  <c r="D145" i="2"/>
  <c r="D125" i="2"/>
  <c r="D107" i="2"/>
  <c r="D112" i="2" s="1"/>
  <c r="Y18" i="1" s="1"/>
  <c r="D89" i="2"/>
  <c r="D69" i="2"/>
  <c r="D51" i="2"/>
  <c r="D33" i="2"/>
  <c r="D42" i="2" s="1"/>
  <c r="J18" i="1" s="1"/>
  <c r="C204" i="2"/>
  <c r="C194" i="2"/>
  <c r="C186" i="2"/>
  <c r="C176" i="2"/>
  <c r="C166" i="2"/>
  <c r="C158" i="2"/>
  <c r="C148" i="2"/>
  <c r="C136" i="2"/>
  <c r="C128" i="2"/>
  <c r="C118" i="2"/>
  <c r="C108" i="2"/>
  <c r="C100" i="2"/>
  <c r="C112" i="2" s="1"/>
  <c r="C92" i="2"/>
  <c r="C82" i="2"/>
  <c r="C74" i="2"/>
  <c r="C64" i="2"/>
  <c r="C54" i="2"/>
  <c r="C46" i="2"/>
  <c r="C36" i="2"/>
  <c r="C26" i="2"/>
  <c r="C18" i="2"/>
  <c r="C8" i="2"/>
  <c r="E8" i="2" s="1"/>
  <c r="D204" i="2"/>
  <c r="C84" i="2"/>
  <c r="I51" i="4"/>
  <c r="G68" i="4"/>
  <c r="E10" i="2"/>
  <c r="D196" i="2"/>
  <c r="AQ18" i="1" s="1"/>
  <c r="D109" i="2"/>
  <c r="K69" i="4"/>
  <c r="M52" i="4"/>
  <c r="C59" i="4"/>
  <c r="V15" i="4"/>
  <c r="AE15" i="4"/>
  <c r="AF16" i="4" s="1"/>
  <c r="E9" i="2"/>
  <c r="E7" i="2"/>
  <c r="C210" i="2"/>
  <c r="E5" i="2"/>
  <c r="C153" i="2"/>
  <c r="D77" i="2"/>
  <c r="C189" i="2"/>
  <c r="C196" i="2" s="1"/>
  <c r="C115" i="2"/>
  <c r="C39" i="2"/>
  <c r="D175" i="2"/>
  <c r="D73" i="2"/>
  <c r="D84" i="2" s="1"/>
  <c r="S18" i="1" s="1"/>
  <c r="E36" i="1"/>
  <c r="H36" i="1"/>
  <c r="E2" i="2"/>
  <c r="G6" i="4"/>
  <c r="E59" i="4"/>
  <c r="K51" i="4"/>
  <c r="I68" i="4"/>
  <c r="D70" i="2"/>
  <c r="P18" i="1" s="1"/>
  <c r="C14" i="2"/>
  <c r="E4" i="2"/>
  <c r="C140" i="2"/>
  <c r="G7" i="4"/>
  <c r="E60" i="4"/>
  <c r="E8" i="4"/>
  <c r="E61" i="4" s="1"/>
  <c r="C10" i="4"/>
  <c r="D33" i="4" s="1"/>
  <c r="E36" i="4"/>
  <c r="D28" i="5"/>
  <c r="J10" i="3"/>
  <c r="H31" i="3"/>
  <c r="K49" i="1"/>
  <c r="E13" i="3"/>
  <c r="D6" i="1" s="1"/>
  <c r="E21" i="3"/>
  <c r="D11" i="1" s="1"/>
  <c r="E25" i="3"/>
  <c r="D13" i="1" s="1"/>
  <c r="E15" i="3"/>
  <c r="D12" i="1" s="1"/>
  <c r="D5" i="1"/>
  <c r="D7" i="1" s="1"/>
  <c r="G28" i="3"/>
  <c r="G8" i="3"/>
  <c r="F7" i="3"/>
  <c r="F6" i="3" s="1"/>
  <c r="F5" i="3" s="1"/>
  <c r="F11" i="2" l="1"/>
  <c r="B12" i="2" s="1"/>
  <c r="F12" i="2" s="1"/>
  <c r="B13" i="2" s="1"/>
  <c r="F13" i="2" s="1"/>
  <c r="D210" i="2"/>
  <c r="AT18" i="1" s="1"/>
  <c r="C70" i="2"/>
  <c r="C28" i="2"/>
  <c r="E47" i="2"/>
  <c r="E128" i="2"/>
  <c r="E105" i="2"/>
  <c r="E19" i="2"/>
  <c r="E156" i="2"/>
  <c r="E39" i="2"/>
  <c r="E79" i="2"/>
  <c r="E158" i="2"/>
  <c r="E96" i="2"/>
  <c r="E179" i="2"/>
  <c r="E62" i="2"/>
  <c r="E181" i="2"/>
  <c r="E153" i="2"/>
  <c r="E157" i="2"/>
  <c r="E108" i="2"/>
  <c r="E88" i="2"/>
  <c r="E124" i="2"/>
  <c r="E204" i="2"/>
  <c r="E125" i="2"/>
  <c r="E45" i="2"/>
  <c r="E91" i="2"/>
  <c r="E16" i="2"/>
  <c r="E22" i="2"/>
  <c r="E149" i="2"/>
  <c r="E187" i="2"/>
  <c r="E147" i="2"/>
  <c r="E66" i="2"/>
  <c r="E104" i="2"/>
  <c r="E199" i="2"/>
  <c r="E64" i="2"/>
  <c r="E116" i="2"/>
  <c r="E152" i="2"/>
  <c r="E172" i="2"/>
  <c r="E208" i="2"/>
  <c r="E93" i="2"/>
  <c r="E58" i="2"/>
  <c r="E53" i="2"/>
  <c r="E52" i="2"/>
  <c r="E178" i="2"/>
  <c r="E192" i="2"/>
  <c r="E101" i="2"/>
  <c r="E51" i="2"/>
  <c r="E59" i="2"/>
  <c r="E12" i="2"/>
  <c r="E159" i="2"/>
  <c r="E165" i="2"/>
  <c r="E76" i="2"/>
  <c r="E171" i="2"/>
  <c r="E82" i="2"/>
  <c r="E132" i="2"/>
  <c r="E180" i="2"/>
  <c r="E103" i="2"/>
  <c r="E21" i="2"/>
  <c r="E17" i="2"/>
  <c r="E77" i="2"/>
  <c r="E119" i="2"/>
  <c r="E55" i="2"/>
  <c r="E73" i="2"/>
  <c r="E117" i="2"/>
  <c r="E148" i="2"/>
  <c r="E100" i="2"/>
  <c r="E191" i="2"/>
  <c r="E106" i="2"/>
  <c r="E89" i="2"/>
  <c r="E164" i="2"/>
  <c r="E30" i="2"/>
  <c r="E109" i="2"/>
  <c r="E48" i="2"/>
  <c r="E25" i="2"/>
  <c r="E61" i="2"/>
  <c r="E142" i="2"/>
  <c r="E92" i="2"/>
  <c r="E118" i="2"/>
  <c r="E175" i="2"/>
  <c r="E163" i="2"/>
  <c r="E173" i="2"/>
  <c r="E193" i="2"/>
  <c r="E143" i="2"/>
  <c r="E110" i="2"/>
  <c r="E136" i="2"/>
  <c r="E69" i="2"/>
  <c r="E18" i="2"/>
  <c r="E11" i="2"/>
  <c r="E174" i="2"/>
  <c r="E33" i="2"/>
  <c r="E195" i="2"/>
  <c r="E114" i="2"/>
  <c r="E122" i="2"/>
  <c r="E65" i="2"/>
  <c r="E46" i="2"/>
  <c r="E198" i="2"/>
  <c r="E40" i="2"/>
  <c r="E37" i="2"/>
  <c r="E13" i="2"/>
  <c r="E202" i="2"/>
  <c r="E38" i="2"/>
  <c r="E194" i="2"/>
  <c r="E74" i="2"/>
  <c r="E137" i="2"/>
  <c r="E72" i="2"/>
  <c r="E151" i="2"/>
  <c r="E166" i="2"/>
  <c r="E32" i="2"/>
  <c r="E44" i="2"/>
  <c r="E123" i="2"/>
  <c r="E26" i="2"/>
  <c r="E60" i="2"/>
  <c r="E188" i="2"/>
  <c r="E49" i="2"/>
  <c r="E97" i="2"/>
  <c r="E176" i="2"/>
  <c r="E130" i="2"/>
  <c r="E207" i="2"/>
  <c r="E80" i="2"/>
  <c r="E201" i="2"/>
  <c r="E135" i="2"/>
  <c r="E209" i="2"/>
  <c r="E90" i="2"/>
  <c r="E78" i="2"/>
  <c r="E138" i="2"/>
  <c r="E186" i="2"/>
  <c r="E107" i="2"/>
  <c r="E24" i="2"/>
  <c r="E206" i="2"/>
  <c r="E87" i="2"/>
  <c r="E115" i="2"/>
  <c r="E139" i="2"/>
  <c r="E177" i="2"/>
  <c r="E129" i="2"/>
  <c r="E203" i="2"/>
  <c r="E94" i="2"/>
  <c r="E161" i="2"/>
  <c r="E189" i="2"/>
  <c r="E120" i="2"/>
  <c r="E144" i="2"/>
  <c r="E162" i="2"/>
  <c r="E200" i="2"/>
  <c r="E83" i="2"/>
  <c r="E121" i="2"/>
  <c r="E35" i="2"/>
  <c r="E34" i="2"/>
  <c r="E160" i="2"/>
  <c r="E81" i="2"/>
  <c r="E67" i="2"/>
  <c r="E41" i="2"/>
  <c r="E95" i="2"/>
  <c r="E23" i="2"/>
  <c r="E145" i="2"/>
  <c r="E170" i="2"/>
  <c r="E131" i="2"/>
  <c r="E68" i="2"/>
  <c r="E20" i="2"/>
  <c r="E167" i="2"/>
  <c r="E133" i="2"/>
  <c r="E150" i="2"/>
  <c r="E31" i="2"/>
  <c r="E184" i="2"/>
  <c r="E36" i="2"/>
  <c r="E205" i="2"/>
  <c r="E190" i="2"/>
  <c r="E27" i="2"/>
  <c r="E185" i="2"/>
  <c r="E102" i="2"/>
  <c r="E75" i="2"/>
  <c r="E146" i="2"/>
  <c r="E50" i="2"/>
  <c r="E86" i="2"/>
  <c r="E134" i="2"/>
  <c r="E111" i="2"/>
  <c r="E63" i="2"/>
  <c r="E54" i="2"/>
  <c r="D154" i="2"/>
  <c r="AH18" i="1" s="1"/>
  <c r="D140" i="2"/>
  <c r="AE18" i="1" s="1"/>
  <c r="O52" i="4"/>
  <c r="M69" i="4"/>
  <c r="C98" i="2"/>
  <c r="H28" i="3"/>
  <c r="J34" i="1"/>
  <c r="G29" i="3"/>
  <c r="L34" i="1"/>
  <c r="K34" i="1"/>
  <c r="D41" i="1"/>
  <c r="E18" i="5" s="1"/>
  <c r="F41" i="1"/>
  <c r="E41" i="1"/>
  <c r="M49" i="1"/>
  <c r="N49" i="1"/>
  <c r="O49" i="1"/>
  <c r="I31" i="3"/>
  <c r="D30" i="5"/>
  <c r="I6" i="4"/>
  <c r="G59" i="4"/>
  <c r="G7" i="3"/>
  <c r="G6" i="3" s="1"/>
  <c r="G5" i="3" s="1"/>
  <c r="H8" i="3"/>
  <c r="D40" i="1"/>
  <c r="E40" i="1"/>
  <c r="F40" i="1"/>
  <c r="K10" i="3"/>
  <c r="D14" i="1"/>
  <c r="D15" i="1" s="1"/>
  <c r="M51" i="4"/>
  <c r="K68" i="4"/>
  <c r="F13" i="3"/>
  <c r="G6" i="1" s="1"/>
  <c r="F25" i="3"/>
  <c r="G13" i="1" s="1"/>
  <c r="G5" i="1"/>
  <c r="F15" i="3"/>
  <c r="G12" i="1" s="1"/>
  <c r="F18" i="3"/>
  <c r="G10" i="1" s="1"/>
  <c r="F21" i="3"/>
  <c r="G11" i="1" s="1"/>
  <c r="D31" i="1"/>
  <c r="E16" i="5" s="1"/>
  <c r="F31" i="1"/>
  <c r="F32" i="1" s="1"/>
  <c r="F37" i="1" s="1"/>
  <c r="E31" i="1"/>
  <c r="G36" i="4"/>
  <c r="E45" i="4"/>
  <c r="I7" i="4"/>
  <c r="G8" i="4"/>
  <c r="G61" i="4" s="1"/>
  <c r="G60" i="4"/>
  <c r="E10" i="4"/>
  <c r="F33" i="4" s="1"/>
  <c r="G7" i="1" l="1"/>
  <c r="Q52" i="4"/>
  <c r="O69" i="4"/>
  <c r="B16" i="2"/>
  <c r="F16" i="2" s="1"/>
  <c r="B17" i="2" s="1"/>
  <c r="F17" i="2" s="1"/>
  <c r="B18" i="2" s="1"/>
  <c r="F18" i="2" s="1"/>
  <c r="B19" i="2" s="1"/>
  <c r="F19" i="2" s="1"/>
  <c r="B20" i="2" s="1"/>
  <c r="F20" i="2" s="1"/>
  <c r="B21" i="2" s="1"/>
  <c r="F21" i="2" s="1"/>
  <c r="B22" i="2" s="1"/>
  <c r="F22" i="2" s="1"/>
  <c r="B23" i="2" s="1"/>
  <c r="F23" i="2" s="1"/>
  <c r="B24" i="2" s="1"/>
  <c r="F24" i="2" s="1"/>
  <c r="B25" i="2" s="1"/>
  <c r="F25" i="2" s="1"/>
  <c r="B26" i="2" s="1"/>
  <c r="F26" i="2" s="1"/>
  <c r="B27" i="2" s="1"/>
  <c r="F27" i="2" s="1"/>
  <c r="D45" i="1"/>
  <c r="C15" i="4" s="1"/>
  <c r="F45" i="1"/>
  <c r="E45" i="1"/>
  <c r="E4" i="5"/>
  <c r="E6" i="5" s="1"/>
  <c r="I8" i="3"/>
  <c r="H7" i="3"/>
  <c r="H6" i="3" s="1"/>
  <c r="H5" i="3" s="1"/>
  <c r="I59" i="4"/>
  <c r="K6" i="4"/>
  <c r="Q49" i="1"/>
  <c r="R49" i="1"/>
  <c r="J31" i="3"/>
  <c r="P49" i="1"/>
  <c r="G45" i="4"/>
  <c r="I36" i="4"/>
  <c r="G13" i="3"/>
  <c r="J6" i="1" s="1"/>
  <c r="G18" i="3"/>
  <c r="J10" i="1" s="1"/>
  <c r="G21" i="3"/>
  <c r="J11" i="1" s="1"/>
  <c r="J5" i="1"/>
  <c r="G15" i="3"/>
  <c r="J12" i="1" s="1"/>
  <c r="G25" i="3"/>
  <c r="J13" i="1" s="1"/>
  <c r="J17" i="1"/>
  <c r="J35" i="1"/>
  <c r="K35" i="1"/>
  <c r="K36" i="1" s="1"/>
  <c r="L35" i="1"/>
  <c r="L36" i="1" s="1"/>
  <c r="G40" i="1"/>
  <c r="I40" i="1"/>
  <c r="H40" i="1"/>
  <c r="G41" i="1"/>
  <c r="F18" i="5" s="1"/>
  <c r="I41" i="1"/>
  <c r="H41" i="1"/>
  <c r="E17" i="5"/>
  <c r="G10" i="4"/>
  <c r="H33" i="4" s="1"/>
  <c r="K7" i="4"/>
  <c r="I8" i="4"/>
  <c r="I61" i="4" s="1"/>
  <c r="I60" i="4"/>
  <c r="G14" i="1"/>
  <c r="G15" i="1" s="1"/>
  <c r="G31" i="1"/>
  <c r="F16" i="5" s="1"/>
  <c r="H31" i="1"/>
  <c r="I31" i="1"/>
  <c r="I32" i="1" s="1"/>
  <c r="I37" i="1" s="1"/>
  <c r="O51" i="4"/>
  <c r="M68" i="4"/>
  <c r="L10" i="3"/>
  <c r="I28" i="3"/>
  <c r="H29" i="3"/>
  <c r="M17" i="1" s="1"/>
  <c r="O34" i="1"/>
  <c r="N34" i="1"/>
  <c r="M34" i="1"/>
  <c r="I45" i="1" l="1"/>
  <c r="G45" i="1"/>
  <c r="E15" i="4" s="1"/>
  <c r="B30" i="2"/>
  <c r="F30" i="2" s="1"/>
  <c r="B31" i="2" s="1"/>
  <c r="F31" i="2" s="1"/>
  <c r="B32" i="2" s="1"/>
  <c r="F32" i="2" s="1"/>
  <c r="B33" i="2" s="1"/>
  <c r="F33" i="2" s="1"/>
  <c r="B34" i="2" s="1"/>
  <c r="F34" i="2" s="1"/>
  <c r="B35" i="2" s="1"/>
  <c r="F35" i="2" s="1"/>
  <c r="B36" i="2" s="1"/>
  <c r="F36" i="2" s="1"/>
  <c r="B37" i="2" s="1"/>
  <c r="F37" i="2" s="1"/>
  <c r="B38" i="2" s="1"/>
  <c r="F38" i="2" s="1"/>
  <c r="B39" i="2" s="1"/>
  <c r="F39" i="2" s="1"/>
  <c r="B40" i="2" s="1"/>
  <c r="F40" i="2" s="1"/>
  <c r="B41" i="2" s="1"/>
  <c r="F41" i="2" s="1"/>
  <c r="H45" i="1"/>
  <c r="I10" i="4"/>
  <c r="J33" i="4" s="1"/>
  <c r="Q69" i="4"/>
  <c r="S52" i="4"/>
  <c r="F4" i="5"/>
  <c r="F6" i="5" s="1"/>
  <c r="G5" i="5"/>
  <c r="J41" i="1"/>
  <c r="G18" i="5" s="1"/>
  <c r="L41" i="1"/>
  <c r="K41" i="1"/>
  <c r="J14" i="1"/>
  <c r="O35" i="1"/>
  <c r="J31" i="1"/>
  <c r="G16" i="5" s="1"/>
  <c r="K31" i="1"/>
  <c r="L31" i="1"/>
  <c r="L32" i="1" s="1"/>
  <c r="L37" i="1" s="1"/>
  <c r="J8" i="3"/>
  <c r="I7" i="3"/>
  <c r="I6" i="3" s="1"/>
  <c r="I5" i="3" s="1"/>
  <c r="M10" i="3"/>
  <c r="H21" i="3"/>
  <c r="M11" i="1" s="1"/>
  <c r="H25" i="3"/>
  <c r="M13" i="1" s="1"/>
  <c r="H18" i="3"/>
  <c r="M10" i="1" s="1"/>
  <c r="H13" i="3"/>
  <c r="M6" i="1" s="1"/>
  <c r="M5" i="1"/>
  <c r="H15" i="3"/>
  <c r="M12" i="1" s="1"/>
  <c r="H5" i="5"/>
  <c r="J28" i="3"/>
  <c r="I29" i="3"/>
  <c r="P17" i="1" s="1"/>
  <c r="R34" i="1"/>
  <c r="P34" i="1"/>
  <c r="Q34" i="1"/>
  <c r="Q51" i="4"/>
  <c r="O68" i="4"/>
  <c r="K60" i="4"/>
  <c r="M7" i="4"/>
  <c r="K8" i="4"/>
  <c r="K61" i="4" s="1"/>
  <c r="F17" i="5"/>
  <c r="N35" i="1"/>
  <c r="N36" i="1" s="1"/>
  <c r="J7" i="1"/>
  <c r="J15" i="1" s="1"/>
  <c r="K36" i="4"/>
  <c r="K10" i="4" s="1"/>
  <c r="L33" i="4" s="1"/>
  <c r="I45" i="4"/>
  <c r="T49" i="1"/>
  <c r="K31" i="3"/>
  <c r="S49" i="1"/>
  <c r="U49" i="1"/>
  <c r="M6" i="4"/>
  <c r="K59" i="4"/>
  <c r="M35" i="1"/>
  <c r="J36" i="1"/>
  <c r="J40" i="1"/>
  <c r="L40" i="1"/>
  <c r="K40" i="1"/>
  <c r="E7" i="5"/>
  <c r="E19" i="5" s="1"/>
  <c r="M7" i="1" l="1"/>
  <c r="J45" i="1"/>
  <c r="G15" i="4" s="1"/>
  <c r="L45" i="1"/>
  <c r="B44" i="2"/>
  <c r="F44" i="2" s="1"/>
  <c r="B45" i="2" s="1"/>
  <c r="F45" i="2" s="1"/>
  <c r="B46" i="2" s="1"/>
  <c r="F46" i="2" s="1"/>
  <c r="B47" i="2" s="1"/>
  <c r="F47" i="2" s="1"/>
  <c r="B48" i="2" s="1"/>
  <c r="F48" i="2" s="1"/>
  <c r="B49" i="2" s="1"/>
  <c r="F49" i="2" s="1"/>
  <c r="B50" i="2" s="1"/>
  <c r="F50" i="2" s="1"/>
  <c r="B51" i="2" s="1"/>
  <c r="F51" i="2" s="1"/>
  <c r="B52" i="2" s="1"/>
  <c r="F52" i="2" s="1"/>
  <c r="B53" i="2" s="1"/>
  <c r="F53" i="2" s="1"/>
  <c r="B54" i="2" s="1"/>
  <c r="F54" i="2" s="1"/>
  <c r="B55" i="2" s="1"/>
  <c r="F55" i="2" s="1"/>
  <c r="K45" i="1"/>
  <c r="S69" i="4"/>
  <c r="U52" i="4"/>
  <c r="R36" i="1"/>
  <c r="R35" i="1"/>
  <c r="N10" i="3"/>
  <c r="G4" i="5"/>
  <c r="G6" i="5" s="1"/>
  <c r="I5" i="5"/>
  <c r="M40" i="1"/>
  <c r="O40" i="1"/>
  <c r="N40" i="1"/>
  <c r="E8" i="5"/>
  <c r="E28" i="5" s="1"/>
  <c r="Q35" i="1"/>
  <c r="M60" i="4"/>
  <c r="O7" i="4"/>
  <c r="M8" i="4"/>
  <c r="M61" i="4" s="1"/>
  <c r="Q36" i="1"/>
  <c r="J29" i="3"/>
  <c r="S17" i="1" s="1"/>
  <c r="K28" i="3"/>
  <c r="T34" i="1"/>
  <c r="U34" i="1"/>
  <c r="S34" i="1"/>
  <c r="M31" i="1"/>
  <c r="H16" i="5" s="1"/>
  <c r="N31" i="1"/>
  <c r="O31" i="1"/>
  <c r="O32" i="1" s="1"/>
  <c r="P5" i="1"/>
  <c r="I15" i="3"/>
  <c r="P12" i="1" s="1"/>
  <c r="I21" i="3"/>
  <c r="P11" i="1" s="1"/>
  <c r="I13" i="3"/>
  <c r="P6" i="1" s="1"/>
  <c r="I18" i="3"/>
  <c r="P10" i="1" s="1"/>
  <c r="I25" i="3"/>
  <c r="P13" i="1" s="1"/>
  <c r="M36" i="4"/>
  <c r="K45" i="4"/>
  <c r="M41" i="1"/>
  <c r="H18" i="5" s="1"/>
  <c r="N41" i="1"/>
  <c r="O41" i="1"/>
  <c r="U35" i="1"/>
  <c r="O6" i="4"/>
  <c r="M59" i="4"/>
  <c r="L31" i="3"/>
  <c r="V49" i="1"/>
  <c r="X49" i="1"/>
  <c r="W49" i="1"/>
  <c r="Q68" i="4"/>
  <c r="S51" i="4"/>
  <c r="O36" i="1"/>
  <c r="G17" i="5"/>
  <c r="P35" i="1"/>
  <c r="S35" i="1" s="1"/>
  <c r="M36" i="1"/>
  <c r="M14" i="1"/>
  <c r="M15" i="1" s="1"/>
  <c r="K8" i="3"/>
  <c r="J7" i="3"/>
  <c r="J6" i="3" s="1"/>
  <c r="J5" i="3" s="1"/>
  <c r="F7" i="5"/>
  <c r="F19" i="5" s="1"/>
  <c r="F8" i="5"/>
  <c r="F28" i="5" s="1"/>
  <c r="O45" i="1" l="1"/>
  <c r="M45" i="1"/>
  <c r="I15" i="4" s="1"/>
  <c r="N45" i="1"/>
  <c r="B58" i="2"/>
  <c r="F58" i="2" s="1"/>
  <c r="B59" i="2" s="1"/>
  <c r="F59" i="2" s="1"/>
  <c r="B60" i="2" s="1"/>
  <c r="F60" i="2" s="1"/>
  <c r="B61" i="2" s="1"/>
  <c r="F61" i="2" s="1"/>
  <c r="B62" i="2" s="1"/>
  <c r="F62" i="2" s="1"/>
  <c r="B63" i="2" s="1"/>
  <c r="F63" i="2" s="1"/>
  <c r="B64" i="2" s="1"/>
  <c r="F64" i="2" s="1"/>
  <c r="B65" i="2" s="1"/>
  <c r="F65" i="2" s="1"/>
  <c r="B66" i="2" s="1"/>
  <c r="F66" i="2" s="1"/>
  <c r="B67" i="2" s="1"/>
  <c r="F67" i="2" s="1"/>
  <c r="B68" i="2" s="1"/>
  <c r="F68" i="2" s="1"/>
  <c r="B69" i="2" s="1"/>
  <c r="F69" i="2" s="1"/>
  <c r="M10" i="4"/>
  <c r="N33" i="4" s="1"/>
  <c r="W52" i="4"/>
  <c r="U69" i="4"/>
  <c r="U36" i="1"/>
  <c r="T35" i="1"/>
  <c r="H4" i="5"/>
  <c r="H6" i="5" s="1"/>
  <c r="O37" i="1"/>
  <c r="P40" i="1"/>
  <c r="R40" i="1"/>
  <c r="Q40" i="1"/>
  <c r="H17" i="5"/>
  <c r="J21" i="3"/>
  <c r="S11" i="1" s="1"/>
  <c r="J13" i="3"/>
  <c r="S6" i="1" s="1"/>
  <c r="S5" i="1"/>
  <c r="S7" i="1" s="1"/>
  <c r="J15" i="3"/>
  <c r="S12" i="1" s="1"/>
  <c r="J25" i="3"/>
  <c r="S13" i="1" s="1"/>
  <c r="J18" i="3"/>
  <c r="S10" i="1" s="1"/>
  <c r="P36" i="1"/>
  <c r="Z49" i="1"/>
  <c r="M31" i="3"/>
  <c r="AA49" i="1"/>
  <c r="Y49" i="1"/>
  <c r="P14" i="1"/>
  <c r="P7" i="1"/>
  <c r="S36" i="1"/>
  <c r="J5" i="5"/>
  <c r="O10" i="3"/>
  <c r="K7" i="3"/>
  <c r="K6" i="3" s="1"/>
  <c r="K5" i="3" s="1"/>
  <c r="L8" i="3"/>
  <c r="M45" i="4"/>
  <c r="O36" i="4"/>
  <c r="P31" i="1"/>
  <c r="I16" i="5" s="1"/>
  <c r="R31" i="1"/>
  <c r="R32" i="1" s="1"/>
  <c r="R37" i="1" s="1"/>
  <c r="Q31" i="1"/>
  <c r="T36" i="1"/>
  <c r="G7" i="5"/>
  <c r="G19" i="5" s="1"/>
  <c r="U51" i="4"/>
  <c r="S68" i="4"/>
  <c r="Q6" i="4"/>
  <c r="O59" i="4"/>
  <c r="P41" i="1"/>
  <c r="I18" i="5" s="1"/>
  <c r="Q41" i="1"/>
  <c r="R41" i="1"/>
  <c r="K29" i="3"/>
  <c r="V17" i="1" s="1"/>
  <c r="L28" i="3"/>
  <c r="V34" i="1"/>
  <c r="X34" i="1"/>
  <c r="W34" i="1"/>
  <c r="O8" i="4"/>
  <c r="O61" i="4" s="1"/>
  <c r="Q7" i="4"/>
  <c r="O60" i="4"/>
  <c r="R45" i="1" l="1"/>
  <c r="Q45" i="1"/>
  <c r="P45" i="1"/>
  <c r="K15" i="4" s="1"/>
  <c r="B72" i="2"/>
  <c r="F72" i="2" s="1"/>
  <c r="B73" i="2" s="1"/>
  <c r="F73" i="2" s="1"/>
  <c r="B74" i="2" s="1"/>
  <c r="F74" i="2" s="1"/>
  <c r="B75" i="2" s="1"/>
  <c r="F75" i="2" s="1"/>
  <c r="B76" i="2" s="1"/>
  <c r="F76" i="2" s="1"/>
  <c r="B77" i="2" s="1"/>
  <c r="F77" i="2" s="1"/>
  <c r="B78" i="2" s="1"/>
  <c r="F78" i="2" s="1"/>
  <c r="B79" i="2" s="1"/>
  <c r="F79" i="2" s="1"/>
  <c r="B80" i="2" s="1"/>
  <c r="F80" i="2" s="1"/>
  <c r="B81" i="2" s="1"/>
  <c r="F81" i="2" s="1"/>
  <c r="B82" i="2" s="1"/>
  <c r="F82" i="2" s="1"/>
  <c r="B83" i="2" s="1"/>
  <c r="F83" i="2" s="1"/>
  <c r="W69" i="4"/>
  <c r="Y52" i="4"/>
  <c r="G8" i="5"/>
  <c r="G28" i="5" s="1"/>
  <c r="P15" i="1"/>
  <c r="O45" i="4"/>
  <c r="Q36" i="4"/>
  <c r="K5" i="5"/>
  <c r="O10" i="4"/>
  <c r="P33" i="4" s="1"/>
  <c r="P10" i="3"/>
  <c r="S14" i="1"/>
  <c r="S15" i="1" s="1"/>
  <c r="S31" i="1"/>
  <c r="J16" i="5" s="1"/>
  <c r="U31" i="1"/>
  <c r="U32" i="1" s="1"/>
  <c r="U37" i="1" s="1"/>
  <c r="T31" i="1"/>
  <c r="W35" i="1"/>
  <c r="Z35" i="1" s="1"/>
  <c r="M28" i="3"/>
  <c r="L29" i="3"/>
  <c r="Y17" i="1" s="1"/>
  <c r="Y34" i="1"/>
  <c r="Z34" i="1"/>
  <c r="Z36" i="1" s="1"/>
  <c r="AA34" i="1"/>
  <c r="U68" i="4"/>
  <c r="W51" i="4"/>
  <c r="M8" i="3"/>
  <c r="L7" i="3"/>
  <c r="L6" i="3" s="1"/>
  <c r="L5" i="3" s="1"/>
  <c r="I4" i="5"/>
  <c r="I6" i="5" s="1"/>
  <c r="S41" i="1"/>
  <c r="J18" i="5" s="1"/>
  <c r="U41" i="1"/>
  <c r="T41" i="1"/>
  <c r="S40" i="1"/>
  <c r="T40" i="1"/>
  <c r="U40" i="1"/>
  <c r="X35" i="1"/>
  <c r="AA35" i="1" s="1"/>
  <c r="Q60" i="4"/>
  <c r="S7" i="4"/>
  <c r="Q8" i="4"/>
  <c r="Q61" i="4" s="1"/>
  <c r="Q59" i="4"/>
  <c r="S6" i="4"/>
  <c r="Q10" i="4"/>
  <c r="R33" i="4" s="1"/>
  <c r="K21" i="3"/>
  <c r="V11" i="1" s="1"/>
  <c r="K13" i="3"/>
  <c r="V6" i="1" s="1"/>
  <c r="K18" i="3"/>
  <c r="V10" i="1" s="1"/>
  <c r="K25" i="3"/>
  <c r="V13" i="1" s="1"/>
  <c r="V5" i="1"/>
  <c r="K15" i="3"/>
  <c r="V12" i="1" s="1"/>
  <c r="AD49" i="1"/>
  <c r="AB49" i="1"/>
  <c r="N31" i="3"/>
  <c r="AC49" i="1"/>
  <c r="I17" i="5"/>
  <c r="V35" i="1"/>
  <c r="Y35" i="1" s="1"/>
  <c r="H7" i="5"/>
  <c r="H19" i="5" s="1"/>
  <c r="T45" i="1" l="1"/>
  <c r="S45" i="1"/>
  <c r="M15" i="4" s="1"/>
  <c r="B86" i="2"/>
  <c r="F86" i="2" s="1"/>
  <c r="B87" i="2" s="1"/>
  <c r="F87" i="2" s="1"/>
  <c r="B88" i="2" s="1"/>
  <c r="F88" i="2" s="1"/>
  <c r="B89" i="2" s="1"/>
  <c r="F89" i="2" s="1"/>
  <c r="B90" i="2" s="1"/>
  <c r="F90" i="2" s="1"/>
  <c r="B91" i="2" s="1"/>
  <c r="F91" i="2" s="1"/>
  <c r="B92" i="2" s="1"/>
  <c r="F92" i="2" s="1"/>
  <c r="B93" i="2" s="1"/>
  <c r="F93" i="2" s="1"/>
  <c r="B94" i="2" s="1"/>
  <c r="F94" i="2" s="1"/>
  <c r="B95" i="2" s="1"/>
  <c r="F95" i="2" s="1"/>
  <c r="B96" i="2" s="1"/>
  <c r="F96" i="2" s="1"/>
  <c r="B97" i="2" s="1"/>
  <c r="F97" i="2" s="1"/>
  <c r="U45" i="1"/>
  <c r="W36" i="1"/>
  <c r="Y36" i="1"/>
  <c r="AA52" i="4"/>
  <c r="Y69" i="4"/>
  <c r="V7" i="1"/>
  <c r="V36" i="1"/>
  <c r="J4" i="5"/>
  <c r="J6" i="5" s="1"/>
  <c r="AE49" i="1"/>
  <c r="O31" i="3"/>
  <c r="AF49" i="1"/>
  <c r="AG49" i="1"/>
  <c r="V40" i="1"/>
  <c r="W40" i="1"/>
  <c r="X40" i="1"/>
  <c r="J17" i="5"/>
  <c r="V41" i="1"/>
  <c r="K18" i="5" s="1"/>
  <c r="W41" i="1"/>
  <c r="X41" i="1"/>
  <c r="S59" i="4"/>
  <c r="U6" i="4"/>
  <c r="S8" i="4"/>
  <c r="S61" i="4" s="1"/>
  <c r="U7" i="4"/>
  <c r="S60" i="4"/>
  <c r="L25" i="3"/>
  <c r="Y13" i="1" s="1"/>
  <c r="L21" i="3"/>
  <c r="Y11" i="1" s="1"/>
  <c r="L18" i="3"/>
  <c r="Y10" i="1" s="1"/>
  <c r="L13" i="3"/>
  <c r="Y6" i="1" s="1"/>
  <c r="L15" i="3"/>
  <c r="Y12" i="1" s="1"/>
  <c r="Y5" i="1"/>
  <c r="Y7" i="1" s="1"/>
  <c r="X36" i="1"/>
  <c r="L5" i="5"/>
  <c r="Q45" i="4"/>
  <c r="S36" i="4"/>
  <c r="Q10" i="3"/>
  <c r="H8" i="5"/>
  <c r="H28" i="5" s="1"/>
  <c r="I7" i="5"/>
  <c r="I19" i="5" s="1"/>
  <c r="I8" i="5"/>
  <c r="I28" i="5" s="1"/>
  <c r="V14" i="1"/>
  <c r="V15" i="1" s="1"/>
  <c r="V31" i="1"/>
  <c r="K16" i="5" s="1"/>
  <c r="W31" i="1"/>
  <c r="X31" i="1"/>
  <c r="X32" i="1" s="1"/>
  <c r="X37" i="1" s="1"/>
  <c r="N8" i="3"/>
  <c r="M7" i="3"/>
  <c r="M6" i="3" s="1"/>
  <c r="M5" i="3" s="1"/>
  <c r="W68" i="4"/>
  <c r="Y51" i="4"/>
  <c r="AA36" i="1"/>
  <c r="M29" i="3"/>
  <c r="AB17" i="1" s="1"/>
  <c r="N28" i="3"/>
  <c r="AB34" i="1"/>
  <c r="AC34" i="1"/>
  <c r="AD34" i="1"/>
  <c r="AB35" i="1" l="1"/>
  <c r="AB36" i="1" s="1"/>
  <c r="AA69" i="4"/>
  <c r="AC52" i="4"/>
  <c r="X45" i="1"/>
  <c r="B100" i="2"/>
  <c r="F100" i="2" s="1"/>
  <c r="B101" i="2" s="1"/>
  <c r="F101" i="2" s="1"/>
  <c r="B102" i="2" s="1"/>
  <c r="F102" i="2" s="1"/>
  <c r="B103" i="2" s="1"/>
  <c r="F103" i="2" s="1"/>
  <c r="B104" i="2" s="1"/>
  <c r="F104" i="2" s="1"/>
  <c r="B105" i="2" s="1"/>
  <c r="F105" i="2" s="1"/>
  <c r="B106" i="2" s="1"/>
  <c r="F106" i="2" s="1"/>
  <c r="B107" i="2" s="1"/>
  <c r="F107" i="2" s="1"/>
  <c r="B108" i="2" s="1"/>
  <c r="F108" i="2" s="1"/>
  <c r="B109" i="2" s="1"/>
  <c r="F109" i="2" s="1"/>
  <c r="B110" i="2" s="1"/>
  <c r="F110" i="2" s="1"/>
  <c r="B111" i="2" s="1"/>
  <c r="F111" i="2" s="1"/>
  <c r="V45" i="1"/>
  <c r="W45" i="1"/>
  <c r="M5" i="5"/>
  <c r="M21" i="3"/>
  <c r="AB11" i="1" s="1"/>
  <c r="M13" i="3"/>
  <c r="AB6" i="1" s="1"/>
  <c r="M18" i="3"/>
  <c r="AB10" i="1" s="1"/>
  <c r="M25" i="3"/>
  <c r="AB13" i="1" s="1"/>
  <c r="M15" i="3"/>
  <c r="AB12" i="1" s="1"/>
  <c r="AB5" i="1"/>
  <c r="AB7" i="1" s="1"/>
  <c r="R10" i="3"/>
  <c r="Y31" i="1"/>
  <c r="L16" i="5" s="1"/>
  <c r="Z31" i="1"/>
  <c r="AA31" i="1"/>
  <c r="AA32" i="1" s="1"/>
  <c r="AA37" i="1" s="1"/>
  <c r="S10" i="4"/>
  <c r="T33" i="4" s="1"/>
  <c r="AC35" i="1"/>
  <c r="AC36" i="1" s="1"/>
  <c r="P31" i="3"/>
  <c r="AI49" i="1"/>
  <c r="AH49" i="1"/>
  <c r="AJ49" i="1"/>
  <c r="J7" i="5"/>
  <c r="J19" i="5" s="1"/>
  <c r="O8" i="3"/>
  <c r="N7" i="3"/>
  <c r="N6" i="3" s="1"/>
  <c r="N5" i="3" s="1"/>
  <c r="Y14" i="1"/>
  <c r="Y15" i="1" s="1"/>
  <c r="W7" i="4"/>
  <c r="U8" i="4"/>
  <c r="U61" i="4" s="1"/>
  <c r="U60" i="4"/>
  <c r="K17" i="5"/>
  <c r="AA51" i="4"/>
  <c r="Y68" i="4"/>
  <c r="Y40" i="1"/>
  <c r="Z40" i="1"/>
  <c r="AA40" i="1"/>
  <c r="AE35" i="1"/>
  <c r="AF35" i="1"/>
  <c r="K4" i="5"/>
  <c r="K6" i="5" s="1"/>
  <c r="N29" i="3"/>
  <c r="AE17" i="1" s="1"/>
  <c r="O28" i="3"/>
  <c r="AG34" i="1"/>
  <c r="AF34" i="1"/>
  <c r="AE34" i="1"/>
  <c r="S45" i="4"/>
  <c r="U36" i="4"/>
  <c r="Y41" i="1"/>
  <c r="L18" i="5" s="1"/>
  <c r="Z41" i="1"/>
  <c r="AA41" i="1"/>
  <c r="U10" i="4"/>
  <c r="V33" i="4" s="1"/>
  <c r="U59" i="4"/>
  <c r="W6" i="4"/>
  <c r="AD35" i="1"/>
  <c r="AD36" i="1" s="1"/>
  <c r="J8" i="5" l="1"/>
  <c r="J28" i="5" s="1"/>
  <c r="AC69" i="4"/>
  <c r="AE52" i="4"/>
  <c r="N15" i="4"/>
  <c r="O15" i="4"/>
  <c r="Z45" i="1"/>
  <c r="Y45" i="1"/>
  <c r="Q15" i="4" s="1"/>
  <c r="B114" i="2"/>
  <c r="F114" i="2" s="1"/>
  <c r="B115" i="2" s="1"/>
  <c r="F115" i="2" s="1"/>
  <c r="B116" i="2" s="1"/>
  <c r="F116" i="2" s="1"/>
  <c r="B117" i="2" s="1"/>
  <c r="F117" i="2" s="1"/>
  <c r="B118" i="2" s="1"/>
  <c r="F118" i="2" s="1"/>
  <c r="B119" i="2" s="1"/>
  <c r="F119" i="2" s="1"/>
  <c r="B120" i="2" s="1"/>
  <c r="F120" i="2" s="1"/>
  <c r="B121" i="2" s="1"/>
  <c r="F121" i="2" s="1"/>
  <c r="B122" i="2" s="1"/>
  <c r="F122" i="2" s="1"/>
  <c r="B123" i="2" s="1"/>
  <c r="F123" i="2" s="1"/>
  <c r="B124" i="2" s="1"/>
  <c r="F124" i="2" s="1"/>
  <c r="B125" i="2" s="1"/>
  <c r="F125" i="2" s="1"/>
  <c r="AA45" i="1"/>
  <c r="L4" i="5"/>
  <c r="L6" i="5" s="1"/>
  <c r="U45" i="4"/>
  <c r="W36" i="4"/>
  <c r="K7" i="5"/>
  <c r="K19" i="5" s="1"/>
  <c r="AC51" i="4"/>
  <c r="AA68" i="4"/>
  <c r="AB41" i="1"/>
  <c r="M18" i="5" s="1"/>
  <c r="AC41" i="1"/>
  <c r="AD41" i="1"/>
  <c r="AM49" i="1"/>
  <c r="Q31" i="3"/>
  <c r="AL49" i="1"/>
  <c r="AK49" i="1"/>
  <c r="AB14" i="1"/>
  <c r="AB15" i="1" s="1"/>
  <c r="AE36" i="1"/>
  <c r="N5" i="5"/>
  <c r="AG35" i="1"/>
  <c r="AG36" i="1" s="1"/>
  <c r="L17" i="5"/>
  <c r="O7" i="3"/>
  <c r="O6" i="3" s="1"/>
  <c r="O5" i="3" s="1"/>
  <c r="P8" i="3"/>
  <c r="AB31" i="1"/>
  <c r="M16" i="5" s="1"/>
  <c r="AC31" i="1"/>
  <c r="AD31" i="1"/>
  <c r="AD32" i="1" s="1"/>
  <c r="AD37" i="1" s="1"/>
  <c r="O29" i="3"/>
  <c r="AH17" i="1" s="1"/>
  <c r="P28" i="3"/>
  <c r="AJ34" i="1"/>
  <c r="AI34" i="1"/>
  <c r="AH34" i="1"/>
  <c r="N21" i="3"/>
  <c r="AE11" i="1" s="1"/>
  <c r="N13" i="3"/>
  <c r="AE6" i="1" s="1"/>
  <c r="N25" i="3"/>
  <c r="AE13" i="1" s="1"/>
  <c r="N18" i="3"/>
  <c r="AE10" i="1" s="1"/>
  <c r="AE5" i="1"/>
  <c r="N15" i="3"/>
  <c r="AE12" i="1" s="1"/>
  <c r="Y6" i="4"/>
  <c r="W59" i="4"/>
  <c r="AF36" i="1"/>
  <c r="W8" i="4"/>
  <c r="W61" i="4" s="1"/>
  <c r="W60" i="4"/>
  <c r="Y7" i="4"/>
  <c r="S10" i="3"/>
  <c r="AB40" i="1"/>
  <c r="AD40" i="1"/>
  <c r="AC40" i="1"/>
  <c r="B128" i="2" l="1"/>
  <c r="F128" i="2" s="1"/>
  <c r="B129" i="2" s="1"/>
  <c r="F129" i="2" s="1"/>
  <c r="B130" i="2" s="1"/>
  <c r="F130" i="2" s="1"/>
  <c r="B131" i="2" s="1"/>
  <c r="F131" i="2" s="1"/>
  <c r="B132" i="2" s="1"/>
  <c r="F132" i="2" s="1"/>
  <c r="B133" i="2" s="1"/>
  <c r="F133" i="2" s="1"/>
  <c r="B134" i="2" s="1"/>
  <c r="F134" i="2" s="1"/>
  <c r="B135" i="2" s="1"/>
  <c r="F135" i="2" s="1"/>
  <c r="B136" i="2" s="1"/>
  <c r="F136" i="2" s="1"/>
  <c r="B137" i="2" s="1"/>
  <c r="F137" i="2" s="1"/>
  <c r="B138" i="2" s="1"/>
  <c r="F138" i="2" s="1"/>
  <c r="B139" i="2" s="1"/>
  <c r="F139" i="2" s="1"/>
  <c r="AD45" i="1"/>
  <c r="AB45" i="1"/>
  <c r="AC45" i="1"/>
  <c r="AG52" i="4"/>
  <c r="AE69" i="4"/>
  <c r="AH35" i="1"/>
  <c r="AE7" i="1"/>
  <c r="T10" i="3"/>
  <c r="AE40" i="1"/>
  <c r="AF40" i="1"/>
  <c r="AG40" i="1"/>
  <c r="Q28" i="3"/>
  <c r="P29" i="3"/>
  <c r="AK17" i="1" s="1"/>
  <c r="AM34" i="1"/>
  <c r="AL34" i="1"/>
  <c r="AK34" i="1"/>
  <c r="M4" i="5"/>
  <c r="M6" i="5" s="1"/>
  <c r="AO49" i="1"/>
  <c r="R31" i="3"/>
  <c r="AP49" i="1"/>
  <c r="AN49" i="1"/>
  <c r="Y59" i="4"/>
  <c r="AA6" i="4"/>
  <c r="AE14" i="1"/>
  <c r="AE15" i="1" s="1"/>
  <c r="AH36" i="1"/>
  <c r="O5" i="5"/>
  <c r="P7" i="3"/>
  <c r="P6" i="3" s="1"/>
  <c r="P5" i="3" s="1"/>
  <c r="Q8" i="3"/>
  <c r="K8" i="5"/>
  <c r="K28" i="5" s="1"/>
  <c r="M17" i="5"/>
  <c r="Y8" i="4"/>
  <c r="Y61" i="4" s="1"/>
  <c r="AA7" i="4"/>
  <c r="Y60" i="4"/>
  <c r="AI35" i="1"/>
  <c r="AE41" i="1"/>
  <c r="N18" i="5" s="1"/>
  <c r="AG41" i="1"/>
  <c r="AF41" i="1"/>
  <c r="AI36" i="1"/>
  <c r="O13" i="3"/>
  <c r="AH6" i="1" s="1"/>
  <c r="O21" i="3"/>
  <c r="AH11" i="1" s="1"/>
  <c r="O25" i="3"/>
  <c r="AH13" i="1" s="1"/>
  <c r="AH5" i="1"/>
  <c r="O15" i="3"/>
  <c r="AH12" i="1" s="1"/>
  <c r="O18" i="3"/>
  <c r="AH10" i="1" s="1"/>
  <c r="AC68" i="4"/>
  <c r="AE51" i="4"/>
  <c r="L7" i="5"/>
  <c r="L19" i="5" s="1"/>
  <c r="AJ35" i="1"/>
  <c r="AJ36" i="1" s="1"/>
  <c r="W10" i="4"/>
  <c r="X33" i="4" s="1"/>
  <c r="AE31" i="1"/>
  <c r="N16" i="5" s="1"/>
  <c r="AF31" i="1"/>
  <c r="AG31" i="1"/>
  <c r="AG32" i="1" s="1"/>
  <c r="AG37" i="1" s="1"/>
  <c r="Y36" i="4"/>
  <c r="W45" i="4"/>
  <c r="AH7" i="1" l="1"/>
  <c r="P15" i="4"/>
  <c r="S15" i="4"/>
  <c r="AI52" i="4"/>
  <c r="AI69" i="4" s="1"/>
  <c r="AG69" i="4"/>
  <c r="AE45" i="1"/>
  <c r="U15" i="4" s="1"/>
  <c r="B142" i="2"/>
  <c r="F142" i="2" s="1"/>
  <c r="B143" i="2" s="1"/>
  <c r="F143" i="2" s="1"/>
  <c r="B144" i="2" s="1"/>
  <c r="F144" i="2" s="1"/>
  <c r="B145" i="2" s="1"/>
  <c r="F145" i="2" s="1"/>
  <c r="B146" i="2" s="1"/>
  <c r="F146" i="2" s="1"/>
  <c r="B147" i="2" s="1"/>
  <c r="F147" i="2" s="1"/>
  <c r="B148" i="2" s="1"/>
  <c r="F148" i="2" s="1"/>
  <c r="B149" i="2" s="1"/>
  <c r="F149" i="2" s="1"/>
  <c r="B150" i="2" s="1"/>
  <c r="F150" i="2" s="1"/>
  <c r="B151" i="2" s="1"/>
  <c r="F151" i="2" s="1"/>
  <c r="B152" i="2" s="1"/>
  <c r="F152" i="2" s="1"/>
  <c r="B153" i="2" s="1"/>
  <c r="F153" i="2" s="1"/>
  <c r="AG45" i="1"/>
  <c r="AF45" i="1"/>
  <c r="N4" i="5"/>
  <c r="N6" i="5" s="1"/>
  <c r="AH41" i="1"/>
  <c r="O18" i="5" s="1"/>
  <c r="AI41" i="1"/>
  <c r="AJ41" i="1"/>
  <c r="Y45" i="4"/>
  <c r="AA36" i="4"/>
  <c r="AA10" i="4" s="1"/>
  <c r="AB33" i="4" s="1"/>
  <c r="L8" i="5"/>
  <c r="L28" i="5" s="1"/>
  <c r="AH14" i="1"/>
  <c r="AH15" i="1" s="1"/>
  <c r="AH40" i="1"/>
  <c r="AI40" i="1"/>
  <c r="AJ40" i="1"/>
  <c r="AA8" i="4"/>
  <c r="AA61" i="4" s="1"/>
  <c r="AA60" i="4"/>
  <c r="AC7" i="4"/>
  <c r="S31" i="3"/>
  <c r="AR49" i="1"/>
  <c r="AS49" i="1"/>
  <c r="AQ49" i="1"/>
  <c r="AK36" i="1"/>
  <c r="Q29" i="3"/>
  <c r="AN17" i="1" s="1"/>
  <c r="R28" i="3"/>
  <c r="AO34" i="1"/>
  <c r="AN34" i="1"/>
  <c r="AP34" i="1"/>
  <c r="AK35" i="1"/>
  <c r="AE68" i="4"/>
  <c r="AG51" i="4"/>
  <c r="AH31" i="1"/>
  <c r="O16" i="5" s="1"/>
  <c r="AI31" i="1"/>
  <c r="AJ31" i="1"/>
  <c r="AJ32" i="1" s="1"/>
  <c r="AJ37" i="1" s="1"/>
  <c r="AC6" i="4"/>
  <c r="AA59" i="4"/>
  <c r="Q7" i="3"/>
  <c r="Q6" i="3" s="1"/>
  <c r="Q5" i="3" s="1"/>
  <c r="R8" i="3"/>
  <c r="AL35" i="1"/>
  <c r="AL36" i="1" s="1"/>
  <c r="U10" i="3"/>
  <c r="P25" i="3"/>
  <c r="AK13" i="1" s="1"/>
  <c r="P21" i="3"/>
  <c r="AK11" i="1" s="1"/>
  <c r="AK5" i="1"/>
  <c r="P15" i="3"/>
  <c r="AK12" i="1" s="1"/>
  <c r="P13" i="3"/>
  <c r="AK6" i="1" s="1"/>
  <c r="P18" i="3"/>
  <c r="AK10" i="1" s="1"/>
  <c r="Y10" i="4"/>
  <c r="Z33" i="4" s="1"/>
  <c r="M7" i="5"/>
  <c r="M19" i="5" s="1"/>
  <c r="P5" i="5"/>
  <c r="N17" i="5"/>
  <c r="AM35" i="1"/>
  <c r="AM36" i="1" s="1"/>
  <c r="AI45" i="1" l="1"/>
  <c r="AH45" i="1"/>
  <c r="AJ45" i="1"/>
  <c r="B156" i="2"/>
  <c r="F156" i="2" s="1"/>
  <c r="B157" i="2" s="1"/>
  <c r="F157" i="2" s="1"/>
  <c r="B158" i="2" s="1"/>
  <c r="F158" i="2" s="1"/>
  <c r="B159" i="2" s="1"/>
  <c r="F159" i="2" s="1"/>
  <c r="B160" i="2" s="1"/>
  <c r="F160" i="2" s="1"/>
  <c r="B161" i="2" s="1"/>
  <c r="F161" i="2" s="1"/>
  <c r="B162" i="2" s="1"/>
  <c r="F162" i="2" s="1"/>
  <c r="B163" i="2" s="1"/>
  <c r="F163" i="2" s="1"/>
  <c r="B164" i="2" s="1"/>
  <c r="F164" i="2" s="1"/>
  <c r="B165" i="2" s="1"/>
  <c r="F165" i="2" s="1"/>
  <c r="B166" i="2" s="1"/>
  <c r="F166" i="2" s="1"/>
  <c r="B167" i="2" s="1"/>
  <c r="F167" i="2" s="1"/>
  <c r="O4" i="5"/>
  <c r="O6" i="5" s="1"/>
  <c r="AK31" i="1"/>
  <c r="P16" i="5" s="1"/>
  <c r="AL31" i="1"/>
  <c r="AM31" i="1"/>
  <c r="AM32" i="1" s="1"/>
  <c r="AM37" i="1" s="1"/>
  <c r="M8" i="5"/>
  <c r="M28" i="5" s="1"/>
  <c r="Q13" i="3"/>
  <c r="AN6" i="1" s="1"/>
  <c r="Q21" i="3"/>
  <c r="AN11" i="1" s="1"/>
  <c r="Q18" i="3"/>
  <c r="AN10" i="1" s="1"/>
  <c r="Q25" i="3"/>
  <c r="AN13" i="1" s="1"/>
  <c r="AN5" i="1"/>
  <c r="AN7" i="1" s="1"/>
  <c r="Q15" i="3"/>
  <c r="AN12" i="1" s="1"/>
  <c r="AE7" i="4"/>
  <c r="AC60" i="4"/>
  <c r="AC8" i="4"/>
  <c r="AC61" i="4" s="1"/>
  <c r="AK14" i="1"/>
  <c r="AK40" i="1"/>
  <c r="AL40" i="1"/>
  <c r="AM40" i="1"/>
  <c r="Q5" i="5"/>
  <c r="AA45" i="4"/>
  <c r="AC36" i="4"/>
  <c r="AC10" i="4" s="1"/>
  <c r="AD33" i="4" s="1"/>
  <c r="AK41" i="1"/>
  <c r="P18" i="5" s="1"/>
  <c r="AL41" i="1"/>
  <c r="AM41" i="1"/>
  <c r="S8" i="3"/>
  <c r="R7" i="3"/>
  <c r="R6" i="3" s="1"/>
  <c r="R5" i="3" s="1"/>
  <c r="AE6" i="4"/>
  <c r="AC59" i="4"/>
  <c r="AI51" i="4"/>
  <c r="AI68" i="4" s="1"/>
  <c r="AG68" i="4"/>
  <c r="AT49" i="1"/>
  <c r="T31" i="3"/>
  <c r="AV49" i="1"/>
  <c r="AU49" i="1"/>
  <c r="O17" i="5"/>
  <c r="AK7" i="1"/>
  <c r="AP35" i="1"/>
  <c r="AP36" i="1" s="1"/>
  <c r="AN35" i="1"/>
  <c r="AO35" i="1"/>
  <c r="AO36" i="1" s="1"/>
  <c r="R29" i="3"/>
  <c r="AQ17" i="1" s="1"/>
  <c r="S28" i="3"/>
  <c r="AS34" i="1"/>
  <c r="AQ34" i="1"/>
  <c r="AR34" i="1"/>
  <c r="N7" i="5"/>
  <c r="N19" i="5" s="1"/>
  <c r="N8" i="5" l="1"/>
  <c r="N28" i="5" s="1"/>
  <c r="B170" i="2"/>
  <c r="F170" i="2" s="1"/>
  <c r="B171" i="2" s="1"/>
  <c r="F171" i="2" s="1"/>
  <c r="B172" i="2" s="1"/>
  <c r="F172" i="2" s="1"/>
  <c r="B173" i="2" s="1"/>
  <c r="F173" i="2" s="1"/>
  <c r="B174" i="2" s="1"/>
  <c r="F174" i="2" s="1"/>
  <c r="B175" i="2" s="1"/>
  <c r="F175" i="2" s="1"/>
  <c r="B176" i="2" s="1"/>
  <c r="F176" i="2" s="1"/>
  <c r="B177" i="2" s="1"/>
  <c r="F177" i="2" s="1"/>
  <c r="B178" i="2" s="1"/>
  <c r="F178" i="2" s="1"/>
  <c r="B179" i="2" s="1"/>
  <c r="F179" i="2" s="1"/>
  <c r="B180" i="2" s="1"/>
  <c r="F180" i="2" s="1"/>
  <c r="B181" i="2" s="1"/>
  <c r="F181" i="2" s="1"/>
  <c r="AL45" i="1"/>
  <c r="AK45" i="1"/>
  <c r="Y15" i="4" s="1"/>
  <c r="AM45" i="1"/>
  <c r="AK15" i="1"/>
  <c r="P4" i="5" s="1"/>
  <c r="P6" i="5" s="1"/>
  <c r="R15" i="4"/>
  <c r="W15" i="4"/>
  <c r="AE59" i="4"/>
  <c r="AG6" i="4"/>
  <c r="R5" i="5"/>
  <c r="R21" i="3"/>
  <c r="AQ11" i="1" s="1"/>
  <c r="R13" i="3"/>
  <c r="AQ6" i="1" s="1"/>
  <c r="R25" i="3"/>
  <c r="AQ13" i="1" s="1"/>
  <c r="R18" i="3"/>
  <c r="AQ10" i="1" s="1"/>
  <c r="AQ5" i="1"/>
  <c r="AQ7" i="1" s="1"/>
  <c r="R15" i="3"/>
  <c r="AQ12" i="1" s="1"/>
  <c r="AN41" i="1"/>
  <c r="Q18" i="5" s="1"/>
  <c r="AP41" i="1"/>
  <c r="AO41" i="1"/>
  <c r="AQ35" i="1"/>
  <c r="AQ36" i="1" s="1"/>
  <c r="AR35" i="1"/>
  <c r="AR36" i="1" s="1"/>
  <c r="AS35" i="1"/>
  <c r="AS36" i="1" s="1"/>
  <c r="P17" i="5"/>
  <c r="AE8" i="4"/>
  <c r="AE61" i="4" s="1"/>
  <c r="AG7" i="4"/>
  <c r="AE60" i="4"/>
  <c r="AN40" i="1"/>
  <c r="AO40" i="1"/>
  <c r="AP40" i="1"/>
  <c r="AN36" i="1"/>
  <c r="S29" i="3"/>
  <c r="AT17" i="1" s="1"/>
  <c r="T28" i="3"/>
  <c r="AV34" i="1"/>
  <c r="AU34" i="1"/>
  <c r="AT34" i="1"/>
  <c r="AN31" i="1"/>
  <c r="Q16" i="5" s="1"/>
  <c r="AP31" i="1"/>
  <c r="AP32" i="1" s="1"/>
  <c r="AP37" i="1" s="1"/>
  <c r="AO31" i="1"/>
  <c r="AX49" i="1"/>
  <c r="U31" i="3"/>
  <c r="AY49" i="1"/>
  <c r="AW49" i="1"/>
  <c r="S7" i="3"/>
  <c r="S6" i="3" s="1"/>
  <c r="S5" i="3" s="1"/>
  <c r="T8" i="3"/>
  <c r="AC45" i="4"/>
  <c r="AE36" i="4"/>
  <c r="AN14" i="1"/>
  <c r="AN15" i="1" s="1"/>
  <c r="O7" i="5"/>
  <c r="O19" i="5" s="1"/>
  <c r="AQ14" i="1" l="1"/>
  <c r="AP45" i="1"/>
  <c r="AN45" i="1"/>
  <c r="AO45" i="1"/>
  <c r="B184" i="2"/>
  <c r="F184" i="2" s="1"/>
  <c r="B185" i="2" s="1"/>
  <c r="F185" i="2" s="1"/>
  <c r="B186" i="2" s="1"/>
  <c r="F186" i="2" s="1"/>
  <c r="B187" i="2" s="1"/>
  <c r="F187" i="2" s="1"/>
  <c r="B188" i="2" s="1"/>
  <c r="F188" i="2" s="1"/>
  <c r="B189" i="2" s="1"/>
  <c r="F189" i="2" s="1"/>
  <c r="B190" i="2" s="1"/>
  <c r="F190" i="2" s="1"/>
  <c r="B191" i="2" s="1"/>
  <c r="F191" i="2" s="1"/>
  <c r="B192" i="2" s="1"/>
  <c r="F192" i="2" s="1"/>
  <c r="B193" i="2" s="1"/>
  <c r="F193" i="2" s="1"/>
  <c r="B194" i="2" s="1"/>
  <c r="F194" i="2" s="1"/>
  <c r="B195" i="2" s="1"/>
  <c r="F195" i="2" s="1"/>
  <c r="Q4" i="5"/>
  <c r="Q6" i="5" s="1"/>
  <c r="AG36" i="4"/>
  <c r="AE45" i="4"/>
  <c r="S5" i="5"/>
  <c r="AG60" i="4"/>
  <c r="AI7" i="4"/>
  <c r="AG8" i="4"/>
  <c r="AG61" i="4" s="1"/>
  <c r="O8" i="5"/>
  <c r="O28" i="5" s="1"/>
  <c r="AQ41" i="1"/>
  <c r="R18" i="5" s="1"/>
  <c r="AR41" i="1"/>
  <c r="AS41" i="1"/>
  <c r="AG59" i="4"/>
  <c r="AI6" i="4"/>
  <c r="AG10" i="4"/>
  <c r="AH33" i="4" s="1"/>
  <c r="U8" i="3"/>
  <c r="U7" i="3" s="1"/>
  <c r="U6" i="3" s="1"/>
  <c r="U5" i="3" s="1"/>
  <c r="T7" i="3"/>
  <c r="T6" i="3" s="1"/>
  <c r="T5" i="3" s="1"/>
  <c r="AZ49" i="1"/>
  <c r="BB49" i="1"/>
  <c r="BA49" i="1"/>
  <c r="Q17" i="5"/>
  <c r="AQ31" i="1"/>
  <c r="R16" i="5" s="1"/>
  <c r="AR31" i="1"/>
  <c r="AS31" i="1"/>
  <c r="AS32" i="1" s="1"/>
  <c r="AS37" i="1" s="1"/>
  <c r="AE10" i="4"/>
  <c r="AF33" i="4" s="1"/>
  <c r="S13" i="3"/>
  <c r="AT6" i="1" s="1"/>
  <c r="S25" i="3"/>
  <c r="AT13" i="1" s="1"/>
  <c r="S21" i="3"/>
  <c r="AT11" i="1" s="1"/>
  <c r="AT5" i="1"/>
  <c r="S15" i="3"/>
  <c r="AT12" i="1" s="1"/>
  <c r="S18" i="3"/>
  <c r="AT10" i="1" s="1"/>
  <c r="P8" i="5"/>
  <c r="P28" i="5" s="1"/>
  <c r="P7" i="5"/>
  <c r="P19" i="5" s="1"/>
  <c r="T29" i="3"/>
  <c r="AW17" i="1" s="1"/>
  <c r="U28" i="3"/>
  <c r="AY34" i="1"/>
  <c r="AW34" i="1"/>
  <c r="AX34" i="1"/>
  <c r="AT35" i="1"/>
  <c r="AU35" i="1"/>
  <c r="AU36" i="1" s="1"/>
  <c r="AV35" i="1"/>
  <c r="AV36" i="1" s="1"/>
  <c r="AQ15" i="1"/>
  <c r="AQ40" i="1"/>
  <c r="AR40" i="1"/>
  <c r="AS40" i="1"/>
  <c r="AT14" i="1" l="1"/>
  <c r="T15" i="4"/>
  <c r="AA15" i="4"/>
  <c r="AT7" i="1"/>
  <c r="AT15" i="1" s="1"/>
  <c r="B198" i="2"/>
  <c r="F198" i="2" s="1"/>
  <c r="B199" i="2" s="1"/>
  <c r="F199" i="2" s="1"/>
  <c r="B200" i="2" s="1"/>
  <c r="F200" i="2" s="1"/>
  <c r="B201" i="2" s="1"/>
  <c r="F201" i="2" s="1"/>
  <c r="B202" i="2" s="1"/>
  <c r="F202" i="2" s="1"/>
  <c r="B203" i="2" s="1"/>
  <c r="F203" i="2" s="1"/>
  <c r="B204" i="2" s="1"/>
  <c r="F204" i="2" s="1"/>
  <c r="B205" i="2" s="1"/>
  <c r="F205" i="2" s="1"/>
  <c r="B206" i="2" s="1"/>
  <c r="F206" i="2" s="1"/>
  <c r="B207" i="2" s="1"/>
  <c r="F207" i="2" s="1"/>
  <c r="B208" i="2" s="1"/>
  <c r="F208" i="2" s="1"/>
  <c r="B209" i="2" s="1"/>
  <c r="F209" i="2" s="1"/>
  <c r="AQ45" i="1"/>
  <c r="AC15" i="4" s="1"/>
  <c r="AS45" i="1"/>
  <c r="AR45" i="1"/>
  <c r="S4" i="5"/>
  <c r="S6" i="5" s="1"/>
  <c r="U29" i="3"/>
  <c r="AZ17" i="1" s="1"/>
  <c r="AZ34" i="1"/>
  <c r="BB34" i="1"/>
  <c r="BA34" i="1"/>
  <c r="AT40" i="1"/>
  <c r="AV40" i="1"/>
  <c r="AU40" i="1"/>
  <c r="T25" i="3"/>
  <c r="AW13" i="1" s="1"/>
  <c r="T21" i="3"/>
  <c r="AW11" i="1" s="1"/>
  <c r="AW5" i="1"/>
  <c r="T15" i="3"/>
  <c r="AW12" i="1" s="1"/>
  <c r="T13" i="3"/>
  <c r="AW6" i="1" s="1"/>
  <c r="T18" i="3"/>
  <c r="AW10" i="1" s="1"/>
  <c r="AI59" i="4"/>
  <c r="AG45" i="4"/>
  <c r="AI36" i="4"/>
  <c r="AI45" i="4" s="1"/>
  <c r="AT41" i="1"/>
  <c r="S18" i="5" s="1"/>
  <c r="AU41" i="1"/>
  <c r="AV41" i="1"/>
  <c r="U13" i="3"/>
  <c r="AZ6" i="1" s="1"/>
  <c r="U21" i="3"/>
  <c r="AZ11" i="1" s="1"/>
  <c r="U25" i="3"/>
  <c r="AZ13" i="1" s="1"/>
  <c r="U18" i="3"/>
  <c r="AZ10" i="1" s="1"/>
  <c r="AZ5" i="1"/>
  <c r="AZ7" i="1" s="1"/>
  <c r="U15" i="3"/>
  <c r="AZ12" i="1" s="1"/>
  <c r="R4" i="5"/>
  <c r="R6" i="5" s="1"/>
  <c r="T5" i="5"/>
  <c r="R17" i="5"/>
  <c r="AY35" i="1"/>
  <c r="AY36" i="1" s="1"/>
  <c r="AX35" i="1"/>
  <c r="AX36" i="1" s="1"/>
  <c r="AW35" i="1"/>
  <c r="AW36" i="1" s="1"/>
  <c r="AT31" i="1"/>
  <c r="S16" i="5" s="1"/>
  <c r="AU31" i="1"/>
  <c r="AV31" i="1"/>
  <c r="AV32" i="1" s="1"/>
  <c r="AV37" i="1" s="1"/>
  <c r="AT36" i="1"/>
  <c r="AI8" i="4"/>
  <c r="AI61" i="4" s="1"/>
  <c r="AI60" i="4"/>
  <c r="Q7" i="5"/>
  <c r="Q19" i="5" s="1"/>
  <c r="AZ14" i="1" l="1"/>
  <c r="AW7" i="1"/>
  <c r="Q8" i="5"/>
  <c r="Q28" i="5" s="1"/>
  <c r="AW14" i="1"/>
  <c r="BA35" i="1"/>
  <c r="AZ35" i="1"/>
  <c r="BB35" i="1"/>
  <c r="BB36" i="1" s="1"/>
  <c r="AZ41" i="1"/>
  <c r="BB41" i="1"/>
  <c r="BA41" i="1"/>
  <c r="AW31" i="1"/>
  <c r="T16" i="5" s="1"/>
  <c r="AX31" i="1"/>
  <c r="AY31" i="1"/>
  <c r="AY32" i="1" s="1"/>
  <c r="AY37" i="1" s="1"/>
  <c r="AW41" i="1"/>
  <c r="T18" i="5" s="1"/>
  <c r="AX41" i="1"/>
  <c r="AY41" i="1"/>
  <c r="AZ36" i="1"/>
  <c r="AW40" i="1"/>
  <c r="AX40" i="1"/>
  <c r="AY40" i="1"/>
  <c r="AZ40" i="1"/>
  <c r="BA40" i="1"/>
  <c r="BB40" i="1"/>
  <c r="S17" i="5"/>
  <c r="U5" i="5"/>
  <c r="W12" i="5"/>
  <c r="U12" i="5" s="1"/>
  <c r="U13" i="5" s="1"/>
  <c r="R7" i="5"/>
  <c r="R19" i="5" s="1"/>
  <c r="AZ15" i="1"/>
  <c r="AZ31" i="1"/>
  <c r="BA31" i="1"/>
  <c r="BB31" i="1"/>
  <c r="BB32" i="1" s="1"/>
  <c r="AI10" i="4"/>
  <c r="AJ33" i="4" s="1"/>
  <c r="AW15" i="1"/>
  <c r="BA36" i="1"/>
  <c r="S7" i="5"/>
  <c r="S19" i="5" l="1"/>
  <c r="R8" i="5"/>
  <c r="R28" i="5" s="1"/>
  <c r="T4" i="5"/>
  <c r="T6" i="5" s="1"/>
  <c r="S8" i="5"/>
  <c r="S28" i="5" s="1"/>
  <c r="T17" i="5"/>
  <c r="U23" i="5"/>
  <c r="U16" i="5"/>
  <c r="U17" i="5"/>
  <c r="U24" i="5"/>
  <c r="U25" i="5"/>
  <c r="U18" i="5"/>
  <c r="U4" i="5"/>
  <c r="U6" i="5" s="1"/>
  <c r="BB37" i="1"/>
  <c r="U7" i="5" l="1"/>
  <c r="U8" i="5" s="1"/>
  <c r="T7" i="5"/>
  <c r="T19" i="5" s="1"/>
  <c r="T8" i="5" l="1"/>
  <c r="T28" i="5" s="1"/>
  <c r="U26" i="5"/>
  <c r="U19" i="5"/>
  <c r="U28" i="5" s="1"/>
  <c r="D34" i="5" s="1"/>
  <c r="R30" i="5"/>
  <c r="O30" i="5"/>
  <c r="I30" i="5"/>
  <c r="N30" i="5"/>
  <c r="L30" i="5"/>
  <c r="G30" i="5"/>
  <c r="J30" i="5"/>
  <c r="S30" i="5"/>
  <c r="Q30" i="5"/>
  <c r="U30" i="5"/>
  <c r="T30" i="5"/>
  <c r="M30" i="5"/>
  <c r="F30" i="5"/>
  <c r="H30" i="5"/>
  <c r="P30" i="5"/>
  <c r="K30" i="5"/>
  <c r="M65" i="4"/>
  <c r="M67" i="4"/>
  <c r="AE37" i="1"/>
  <c r="AE56" i="1"/>
  <c r="AQ59" i="1"/>
  <c r="AQ58" i="1"/>
  <c r="AW57" i="1"/>
  <c r="M59" i="1"/>
  <c r="M58" i="1"/>
  <c r="V56" i="1"/>
  <c r="V37" i="1"/>
  <c r="AZ37" i="1"/>
  <c r="AZ56" i="1"/>
  <c r="O67" i="4"/>
  <c r="O65" i="4"/>
  <c r="AN59" i="1"/>
  <c r="AN58" i="1"/>
  <c r="AC51" i="1"/>
  <c r="Y59" i="1"/>
  <c r="Y58" i="1"/>
  <c r="AK59" i="1"/>
  <c r="AK58" i="1"/>
  <c r="AH58" i="1"/>
  <c r="AH59" i="1"/>
  <c r="M71" i="4"/>
  <c r="AJ47" i="1"/>
  <c r="AB56" i="1"/>
  <c r="AB37" i="1"/>
  <c r="J59" i="1"/>
  <c r="J58" i="1"/>
  <c r="AE65" i="4"/>
  <c r="AE67" i="4"/>
  <c r="D56" i="1"/>
  <c r="D37" i="1"/>
  <c r="P59" i="1"/>
  <c r="P58" i="1"/>
  <c r="G47" i="4"/>
  <c r="AA40" i="4"/>
  <c r="AT58" i="1"/>
  <c r="AT59" i="1"/>
  <c r="AI47" i="1"/>
  <c r="M40" i="4"/>
  <c r="AY47" i="1"/>
  <c r="AO50" i="1"/>
  <c r="AO51" i="1"/>
  <c r="C40" i="4"/>
  <c r="W65" i="4"/>
  <c r="W67" i="4"/>
  <c r="AB57" i="1"/>
  <c r="W71" i="4"/>
  <c r="AH37" i="1"/>
  <c r="AH56" i="1"/>
  <c r="AE58" i="1"/>
  <c r="AE59" i="1"/>
  <c r="K40" i="4"/>
  <c r="AW59" i="1"/>
  <c r="AW58" i="1"/>
  <c r="K65" i="4"/>
  <c r="K67" i="4"/>
  <c r="O71" i="4"/>
  <c r="I34" i="4"/>
  <c r="Z47" i="1"/>
  <c r="S65" i="4"/>
  <c r="S67" i="4"/>
  <c r="G65" i="4"/>
  <c r="G67" i="4"/>
  <c r="T51" i="1"/>
  <c r="Q67" i="4"/>
  <c r="Q65" i="4"/>
  <c r="I67" i="4"/>
  <c r="I65" i="4"/>
  <c r="U67" i="4"/>
  <c r="U65" i="4"/>
  <c r="AW47" i="1"/>
  <c r="U40" i="4"/>
  <c r="AM47" i="1"/>
  <c r="K50" i="1"/>
  <c r="K51" i="1"/>
  <c r="AP47" i="1"/>
  <c r="Z43" i="1"/>
  <c r="D32" i="1"/>
  <c r="AN51" i="1"/>
  <c r="AK51" i="1"/>
  <c r="E47" i="4"/>
  <c r="G71" i="4"/>
  <c r="U54" i="4"/>
  <c r="AE32" i="1"/>
  <c r="O53" i="1"/>
  <c r="AZ58" i="1"/>
  <c r="AZ59" i="1"/>
  <c r="V58" i="1"/>
  <c r="V59" i="1"/>
  <c r="W54" i="4"/>
  <c r="G34" i="4"/>
  <c r="D58" i="1"/>
  <c r="D59" i="1"/>
  <c r="Y40" i="4"/>
  <c r="S37" i="1"/>
  <c r="S56" i="1"/>
  <c r="P57" i="1"/>
  <c r="AN56" i="1"/>
  <c r="AN37" i="1"/>
  <c r="V32" i="1"/>
  <c r="AI34" i="4"/>
  <c r="S57" i="1"/>
  <c r="I40" i="4"/>
  <c r="C67" i="4"/>
  <c r="C65" i="4"/>
  <c r="V43" i="1"/>
  <c r="V47" i="1"/>
  <c r="S59" i="1"/>
  <c r="S58" i="1"/>
  <c r="T50" i="1"/>
  <c r="G40" i="4"/>
  <c r="AI65" i="4"/>
  <c r="AI67" i="4"/>
  <c r="AN32" i="1"/>
  <c r="AK56" i="1"/>
  <c r="AK37" i="1"/>
  <c r="AW37" i="1"/>
  <c r="AW32" i="1"/>
  <c r="AW56" i="1"/>
  <c r="AH32" i="1"/>
  <c r="Y67" i="4"/>
  <c r="Y65" i="4"/>
  <c r="AE38" i="4"/>
  <c r="AE47" i="4"/>
  <c r="AX50" i="1"/>
  <c r="AX51" i="1"/>
  <c r="E43" i="1"/>
  <c r="E47" i="1"/>
  <c r="AT37" i="1"/>
  <c r="AT56" i="1"/>
  <c r="L19" i="4"/>
  <c r="P47" i="1"/>
  <c r="AY50" i="1"/>
  <c r="AY51" i="1"/>
  <c r="AY53" i="1"/>
  <c r="AK57" i="1"/>
  <c r="F19" i="4"/>
  <c r="Y37" i="1"/>
  <c r="Y56" i="1"/>
  <c r="G58" i="1"/>
  <c r="G59" i="1"/>
  <c r="Z42" i="1"/>
  <c r="Q34" i="4"/>
  <c r="AD53" i="1"/>
  <c r="J51" i="1"/>
  <c r="H47" i="1"/>
  <c r="E71" i="4"/>
  <c r="AU50" i="1"/>
  <c r="AU51" i="1"/>
  <c r="G38" i="4"/>
  <c r="AH57" i="1"/>
  <c r="V42" i="1"/>
  <c r="R53" i="1"/>
  <c r="AA71" i="4"/>
  <c r="AB51" i="1"/>
  <c r="X30" i="4"/>
  <c r="AJ42" i="1"/>
  <c r="AJ43" i="1"/>
  <c r="W50" i="1"/>
  <c r="W51" i="1"/>
  <c r="F53" i="1"/>
  <c r="D57" i="1"/>
  <c r="AE40" i="4"/>
  <c r="U34" i="4"/>
  <c r="P37" i="1"/>
  <c r="P56" i="1"/>
  <c r="J56" i="1"/>
  <c r="J37" i="1"/>
  <c r="M56" i="1"/>
  <c r="M37" i="1"/>
  <c r="AB59" i="1"/>
  <c r="AC50" i="1"/>
  <c r="AB58" i="1"/>
  <c r="AZ57" i="1"/>
  <c r="L30" i="4"/>
  <c r="K71" i="4"/>
  <c r="AI71" i="4"/>
  <c r="AL43" i="1"/>
  <c r="AL47" i="1"/>
  <c r="E65" i="4"/>
  <c r="E67" i="4"/>
  <c r="P19" i="4"/>
  <c r="G37" i="1"/>
  <c r="G56" i="1"/>
  <c r="AB19" i="4"/>
  <c r="AK50" i="1"/>
  <c r="Y31" i="4"/>
  <c r="Z32" i="4"/>
  <c r="Y38" i="4"/>
  <c r="Y47" i="4"/>
  <c r="AG67" i="4"/>
  <c r="AG65" i="4"/>
  <c r="AV50" i="1"/>
  <c r="AV51" i="1"/>
  <c r="AV53" i="1"/>
  <c r="M57" i="1"/>
  <c r="E30" i="5"/>
  <c r="D33" i="5"/>
  <c r="AE71" i="4"/>
  <c r="AA65" i="4"/>
  <c r="AA67" i="4"/>
  <c r="T19" i="4"/>
  <c r="G57" i="1"/>
  <c r="AL50" i="1"/>
  <c r="AL51" i="1"/>
  <c r="S51" i="1"/>
  <c r="AQ51" i="1"/>
  <c r="BA42" i="1"/>
  <c r="BA43" i="1"/>
  <c r="BA47" i="1"/>
  <c r="C54" i="4"/>
  <c r="Y57" i="1"/>
  <c r="X19" i="4"/>
  <c r="L47" i="1"/>
  <c r="AC67" i="4"/>
  <c r="AC65" i="4"/>
  <c r="AT32" i="1"/>
  <c r="M54" i="4"/>
  <c r="AG34" i="4"/>
  <c r="AQ57" i="1"/>
  <c r="Z19" i="4"/>
  <c r="Q49" i="4"/>
  <c r="Q54" i="4"/>
  <c r="Y32" i="1"/>
  <c r="X47" i="1"/>
  <c r="AG54" i="4"/>
  <c r="U38" i="4"/>
  <c r="U47" i="4"/>
  <c r="AC40" i="4"/>
  <c r="P32" i="4"/>
  <c r="O38" i="4"/>
  <c r="O47" i="4"/>
  <c r="D51" i="1"/>
  <c r="Y54" i="4"/>
  <c r="O54" i="4"/>
  <c r="N47" i="1"/>
  <c r="E40" i="4"/>
  <c r="V51" i="1"/>
  <c r="V50" i="1"/>
  <c r="O31" i="4"/>
  <c r="S40" i="4"/>
  <c r="AR50" i="1"/>
  <c r="AR51" i="1"/>
  <c r="S38" i="4"/>
  <c r="S47" i="4"/>
  <c r="E42" i="1"/>
  <c r="AZ32" i="1"/>
  <c r="N16" i="4"/>
  <c r="M23" i="4"/>
  <c r="N30" i="4"/>
  <c r="AC47" i="1"/>
  <c r="M37" i="4"/>
  <c r="M46" i="4"/>
  <c r="M49" i="4"/>
  <c r="AW51" i="1"/>
  <c r="G47" i="1"/>
  <c r="D47" i="1"/>
  <c r="D19" i="4"/>
  <c r="AE54" i="4"/>
  <c r="U47" i="1"/>
  <c r="AT51" i="1"/>
  <c r="AC54" i="4"/>
  <c r="C47" i="4"/>
  <c r="G51" i="1"/>
  <c r="W47" i="4"/>
  <c r="AE57" i="1"/>
  <c r="AA34" i="4"/>
  <c r="P30" i="4"/>
  <c r="AT50" i="1"/>
  <c r="AE31" i="4"/>
  <c r="AF32" i="4"/>
  <c r="AD19" i="4"/>
  <c r="AG71" i="4"/>
  <c r="AG53" i="1"/>
  <c r="E50" i="1"/>
  <c r="E51" i="1"/>
  <c r="Q47" i="4"/>
  <c r="AG40" i="4"/>
  <c r="AI50" i="1"/>
  <c r="AI51" i="1"/>
  <c r="AT24" i="1"/>
  <c r="O50" i="1"/>
  <c r="O51" i="1"/>
  <c r="S71" i="4"/>
  <c r="V32" i="4"/>
  <c r="C46" i="4"/>
  <c r="C49" i="4"/>
  <c r="O23" i="4"/>
  <c r="AC47" i="4"/>
  <c r="D42" i="1"/>
  <c r="D43" i="1"/>
  <c r="AV47" i="1"/>
  <c r="AE34" i="4"/>
  <c r="N19" i="4"/>
  <c r="X53" i="1"/>
  <c r="O34" i="4"/>
  <c r="E46" i="4"/>
  <c r="E49" i="4"/>
  <c r="E54" i="4"/>
  <c r="AT57" i="1"/>
  <c r="AR42" i="1"/>
  <c r="AR43" i="1"/>
  <c r="AR47" i="1"/>
  <c r="J19" i="4"/>
  <c r="AW42" i="1"/>
  <c r="AW43" i="1"/>
  <c r="I47" i="4"/>
  <c r="S32" i="1"/>
  <c r="V19" i="4"/>
  <c r="BB50" i="1"/>
  <c r="BB51" i="1"/>
  <c r="BB53" i="1"/>
  <c r="AC34" i="4"/>
  <c r="Q46" i="4"/>
  <c r="R29" i="4"/>
  <c r="Q37" i="4"/>
  <c r="Q40" i="4"/>
  <c r="BA50" i="1"/>
  <c r="BA51" i="1"/>
  <c r="AQ37" i="1"/>
  <c r="AQ32" i="1"/>
  <c r="AQ56" i="1"/>
  <c r="AK43" i="1"/>
  <c r="AK47" i="1"/>
  <c r="E34" i="4"/>
  <c r="Y47" i="1"/>
  <c r="W42" i="1"/>
  <c r="W43" i="1"/>
  <c r="W47" i="1"/>
  <c r="AP53" i="1"/>
  <c r="AH42" i="1"/>
  <c r="AH43" i="1"/>
  <c r="AH47" i="1"/>
  <c r="U46" i="4"/>
  <c r="U49" i="4"/>
  <c r="Y42" i="1"/>
  <c r="Y43" i="1"/>
  <c r="M34" i="4"/>
  <c r="M18" i="4"/>
  <c r="M21" i="4"/>
  <c r="M28" i="4"/>
  <c r="N29" i="4"/>
  <c r="G23" i="4"/>
  <c r="H30" i="4"/>
  <c r="G32" i="1"/>
  <c r="N42" i="1"/>
  <c r="N43" i="1"/>
  <c r="AL42" i="1"/>
  <c r="AK42" i="1"/>
  <c r="K34" i="4"/>
  <c r="M51" i="1"/>
  <c r="AP50" i="1"/>
  <c r="AP51" i="1"/>
  <c r="H42" i="1"/>
  <c r="H43" i="1"/>
  <c r="J57" i="1"/>
  <c r="AZ42" i="1"/>
  <c r="AZ43" i="1"/>
  <c r="AZ47" i="1"/>
  <c r="I42" i="1"/>
  <c r="I43" i="1"/>
  <c r="I47" i="1"/>
  <c r="AI40" i="4"/>
  <c r="V30" i="4"/>
  <c r="U71" i="4"/>
  <c r="S34" i="4"/>
  <c r="AD30" i="4"/>
  <c r="AC71" i="4"/>
  <c r="S47" i="1"/>
  <c r="O40" i="4"/>
  <c r="AZ51" i="1"/>
  <c r="N50" i="1"/>
  <c r="N51" i="1"/>
  <c r="AK32" i="1"/>
  <c r="J32" i="1"/>
  <c r="K23" i="4"/>
  <c r="Q23" i="4"/>
  <c r="R30" i="4"/>
  <c r="Q71" i="4"/>
  <c r="X42" i="1"/>
  <c r="X43" i="1"/>
  <c r="Q28" i="4"/>
  <c r="R16" i="4"/>
  <c r="AD42" i="1"/>
  <c r="AD43" i="1"/>
  <c r="AD47" i="1"/>
  <c r="AE42" i="1"/>
  <c r="AE43" i="1"/>
  <c r="AE47" i="1"/>
  <c r="AF50" i="1"/>
  <c r="AF51" i="1"/>
  <c r="L42" i="1"/>
  <c r="L43" i="1"/>
  <c r="AS42" i="1"/>
  <c r="AS43" i="1"/>
  <c r="AS47" i="1"/>
  <c r="AK24" i="1"/>
  <c r="AM50" i="1"/>
  <c r="AM51" i="1"/>
  <c r="AM53" i="1"/>
  <c r="P42" i="1"/>
  <c r="P43" i="1"/>
  <c r="W34" i="4"/>
  <c r="AF47" i="1"/>
  <c r="J42" i="1"/>
  <c r="J43" i="1"/>
  <c r="J47" i="1"/>
  <c r="AB50" i="1"/>
  <c r="S31" i="4"/>
  <c r="T32" i="4"/>
  <c r="AC46" i="4"/>
  <c r="AC49" i="4"/>
  <c r="AY42" i="1"/>
  <c r="AY43" i="1"/>
  <c r="J50" i="1"/>
  <c r="G31" i="4"/>
  <c r="H32" i="4"/>
  <c r="AN47" i="1"/>
  <c r="F16" i="4"/>
  <c r="E23" i="4"/>
  <c r="F30" i="4"/>
  <c r="R19" i="4"/>
  <c r="Q18" i="4"/>
  <c r="Q21" i="4"/>
  <c r="X16" i="4"/>
  <c r="W23" i="4"/>
  <c r="AK23" i="1"/>
  <c r="AM42" i="1"/>
  <c r="AM43" i="1"/>
  <c r="R42" i="1"/>
  <c r="R43" i="1"/>
  <c r="R47" i="1"/>
  <c r="P51" i="1"/>
  <c r="Y34" i="4"/>
  <c r="I46" i="1"/>
  <c r="AN57" i="1"/>
  <c r="AB47" i="1"/>
  <c r="AE51" i="1"/>
  <c r="AE50" i="1"/>
  <c r="U31" i="4"/>
  <c r="Q50" i="1"/>
  <c r="Q51" i="1"/>
  <c r="O47" i="1"/>
  <c r="J29" i="4"/>
  <c r="I37" i="4"/>
  <c r="I46" i="4"/>
  <c r="I49" i="4"/>
  <c r="I54" i="4"/>
  <c r="AA42" i="1"/>
  <c r="AA43" i="1"/>
  <c r="AA47" i="1"/>
  <c r="D32" i="5"/>
  <c r="K47" i="1"/>
  <c r="H50" i="1"/>
  <c r="H51" i="1"/>
  <c r="C34" i="4"/>
  <c r="Q47" i="1"/>
  <c r="AE46" i="4"/>
  <c r="AE49" i="4"/>
  <c r="U43" i="1"/>
  <c r="M50" i="1"/>
  <c r="I31" i="4"/>
  <c r="J32" i="4"/>
  <c r="I38" i="4"/>
  <c r="K38" i="4"/>
  <c r="K47" i="4"/>
  <c r="AA46" i="4"/>
  <c r="AA49" i="4"/>
  <c r="AA54" i="4"/>
  <c r="D50" i="1"/>
  <c r="C31" i="4"/>
  <c r="D32" i="4"/>
  <c r="C38" i="4"/>
  <c r="F42" i="1"/>
  <c r="F43" i="1"/>
  <c r="F47" i="1"/>
  <c r="AB42" i="1"/>
  <c r="AB43" i="1"/>
  <c r="H19" i="4"/>
  <c r="Z50" i="1"/>
  <c r="Z51" i="1"/>
  <c r="AA50" i="1"/>
  <c r="AA51" i="1"/>
  <c r="AA53" i="1"/>
  <c r="AJ50" i="1"/>
  <c r="AJ51" i="1"/>
  <c r="AJ53" i="1"/>
  <c r="AT42" i="1"/>
  <c r="AT43" i="1"/>
  <c r="AT47" i="1"/>
  <c r="G46" i="4"/>
  <c r="G49" i="4"/>
  <c r="G54" i="4"/>
  <c r="Y51" i="1"/>
  <c r="AH51" i="1"/>
  <c r="AQ23" i="1"/>
  <c r="AQ42" i="1"/>
  <c r="AQ43" i="1"/>
  <c r="AQ47" i="1"/>
  <c r="AG50" i="1"/>
  <c r="AG51" i="1"/>
  <c r="U28" i="4"/>
  <c r="V29" i="4"/>
  <c r="U37" i="4"/>
  <c r="V57" i="1"/>
  <c r="P23" i="1"/>
  <c r="Q42" i="1"/>
  <c r="Q43" i="1"/>
  <c r="P32" i="1"/>
  <c r="I28" i="4"/>
  <c r="I53" i="1"/>
  <c r="AS50" i="1"/>
  <c r="AS51" i="1"/>
  <c r="AS53" i="1"/>
  <c r="AO42" i="1"/>
  <c r="AO43" i="1"/>
  <c r="AO47" i="1"/>
  <c r="U42" i="1"/>
  <c r="AB16" i="4"/>
  <c r="AA23" i="4"/>
  <c r="AB30" i="4"/>
  <c r="AW50" i="1"/>
  <c r="AG31" i="4"/>
  <c r="AH32" i="4"/>
  <c r="AG38" i="4"/>
  <c r="AG47" i="4"/>
  <c r="T30" i="4"/>
  <c r="AJ19" i="4"/>
  <c r="AI23" i="4"/>
  <c r="AJ30" i="4"/>
  <c r="W40" i="4"/>
  <c r="H16" i="4"/>
  <c r="P50" i="1"/>
  <c r="K31" i="4"/>
  <c r="L32" i="4"/>
  <c r="M24" i="1"/>
  <c r="AB32" i="1"/>
  <c r="P16" i="4"/>
  <c r="K46" i="4"/>
  <c r="K49" i="4"/>
  <c r="K54" i="4"/>
  <c r="AD16" i="4"/>
  <c r="AC23" i="4"/>
  <c r="AC38" i="4"/>
  <c r="AG47" i="1"/>
  <c r="AK22" i="1"/>
  <c r="AV42" i="1"/>
  <c r="AV43" i="1"/>
  <c r="AG42" i="1"/>
  <c r="AG43" i="1"/>
  <c r="D23" i="1"/>
  <c r="AI54" i="4"/>
  <c r="O46" i="4"/>
  <c r="O49" i="4"/>
  <c r="AG46" i="4"/>
  <c r="AG49" i="4"/>
  <c r="X50" i="1"/>
  <c r="X51" i="1"/>
  <c r="M32" i="1"/>
  <c r="AI46" i="4"/>
  <c r="AI49" i="4"/>
  <c r="AE24" i="1"/>
  <c r="AK19" i="1"/>
  <c r="AK20" i="1"/>
  <c r="W38" i="4"/>
  <c r="AH30" i="4"/>
  <c r="BB47" i="1"/>
  <c r="AB24" i="1"/>
  <c r="AD50" i="1"/>
  <c r="AD51" i="1"/>
  <c r="AN42" i="1"/>
  <c r="AN43" i="1"/>
  <c r="Q38" i="4"/>
  <c r="Y23" i="1"/>
  <c r="U18" i="4"/>
  <c r="U21" i="4"/>
  <c r="V16" i="4"/>
  <c r="U23" i="4"/>
  <c r="G18" i="4"/>
  <c r="G21" i="4"/>
  <c r="G28" i="4"/>
  <c r="H29" i="4"/>
  <c r="G37" i="4"/>
  <c r="L16" i="4"/>
  <c r="I50" i="1"/>
  <c r="I51" i="1"/>
  <c r="S23" i="4"/>
  <c r="U53" i="1"/>
  <c r="T47" i="1"/>
  <c r="Y71" i="4"/>
  <c r="T16" i="4"/>
  <c r="T42" i="1"/>
  <c r="T43" i="1"/>
  <c r="AQ24" i="1"/>
  <c r="AQ50" i="1"/>
  <c r="AC31" i="4"/>
  <c r="AD32" i="4"/>
  <c r="AB23" i="1"/>
  <c r="AC42" i="1"/>
  <c r="AC43" i="1"/>
  <c r="AC18" i="4"/>
  <c r="AC21" i="4"/>
  <c r="AC28" i="4"/>
  <c r="AD29" i="4"/>
  <c r="AC37" i="4"/>
  <c r="AE28" i="4"/>
  <c r="AF29" i="4"/>
  <c r="AE37" i="4"/>
  <c r="E18" i="4"/>
  <c r="E21" i="4"/>
  <c r="E28" i="4"/>
  <c r="F29" i="4"/>
  <c r="E37" i="4"/>
  <c r="S46" i="4"/>
  <c r="S49" i="4"/>
  <c r="S54" i="4"/>
  <c r="AB19" i="1"/>
  <c r="AB20" i="1"/>
  <c r="AB22" i="1"/>
  <c r="AA18" i="4"/>
  <c r="AA21" i="4"/>
  <c r="AA28" i="4"/>
  <c r="AB29" i="4"/>
  <c r="AA37" i="4"/>
  <c r="D30" i="4"/>
  <c r="C71" i="4"/>
  <c r="AX42" i="1"/>
  <c r="AX43" i="1"/>
  <c r="AX47" i="1"/>
  <c r="AE23" i="4"/>
  <c r="AF30" i="4"/>
  <c r="V23" i="1"/>
  <c r="V24" i="1"/>
  <c r="D16" i="4"/>
  <c r="C23" i="4"/>
  <c r="AH23" i="1"/>
  <c r="AI42" i="1"/>
  <c r="AI43" i="1"/>
  <c r="AF19" i="4"/>
  <c r="AE18" i="4"/>
  <c r="AE21" i="4"/>
  <c r="D24" i="1"/>
  <c r="F50" i="1"/>
  <c r="F51" i="1"/>
  <c r="W18" i="4"/>
  <c r="W21" i="4"/>
  <c r="W28" i="4"/>
  <c r="X29" i="4"/>
  <c r="W37" i="4"/>
  <c r="W46" i="4"/>
  <c r="W49" i="4"/>
  <c r="S18" i="4"/>
  <c r="S21" i="4"/>
  <c r="S28" i="4"/>
  <c r="T29" i="4"/>
  <c r="S37" i="4"/>
  <c r="O18" i="4"/>
  <c r="O21" i="4"/>
  <c r="O28" i="4"/>
  <c r="P29" i="4"/>
  <c r="O37" i="4"/>
  <c r="I18" i="4"/>
  <c r="I21" i="4"/>
  <c r="J16" i="4"/>
  <c r="I23" i="4"/>
  <c r="J30" i="4"/>
  <c r="I71" i="4"/>
  <c r="AG28" i="4"/>
  <c r="AH29" i="4"/>
  <c r="AG37" i="4"/>
  <c r="AP42" i="1"/>
  <c r="AP43" i="1"/>
  <c r="C18" i="4"/>
  <c r="C21" i="4"/>
  <c r="C28" i="4"/>
  <c r="D29" i="4"/>
  <c r="C37" i="4"/>
  <c r="Y28" i="4"/>
  <c r="Z29" i="4"/>
  <c r="Y37" i="4"/>
  <c r="Y46" i="4"/>
  <c r="Y49" i="4"/>
  <c r="AB46" i="1"/>
  <c r="K18" i="4"/>
  <c r="K21" i="4"/>
  <c r="K28" i="4"/>
  <c r="L29" i="4"/>
  <c r="K37" i="4"/>
  <c r="AE23" i="1"/>
  <c r="AF42" i="1"/>
  <c r="AF43" i="1"/>
  <c r="AI18" i="4"/>
  <c r="AI21" i="4"/>
  <c r="AI28" i="4"/>
  <c r="AJ29" i="4"/>
  <c r="AI37" i="4"/>
  <c r="AG21" i="4"/>
  <c r="O42" i="1"/>
  <c r="O43" i="1"/>
  <c r="AN23" i="1"/>
  <c r="AZ24" i="1"/>
  <c r="AZ50" i="1"/>
  <c r="AI31" i="4"/>
  <c r="AJ32" i="4"/>
  <c r="AI38" i="4"/>
  <c r="AI47" i="4"/>
  <c r="P24" i="1"/>
  <c r="R50" i="1"/>
  <c r="R51" i="1"/>
  <c r="S23" i="1"/>
  <c r="S42" i="1"/>
  <c r="S43" i="1"/>
  <c r="AW23" i="1"/>
  <c r="AW19" i="1"/>
  <c r="AW20" i="1"/>
  <c r="AW22" i="1"/>
  <c r="AW24" i="1"/>
  <c r="AE19" i="1"/>
  <c r="AE20" i="1"/>
  <c r="AE22" i="1"/>
  <c r="V30" i="1"/>
  <c r="W30" i="1"/>
  <c r="W32" i="1"/>
  <c r="W37" i="1"/>
  <c r="W53" i="1"/>
  <c r="V46" i="1"/>
  <c r="V19" i="1"/>
  <c r="V20" i="1"/>
  <c r="V22" i="1"/>
  <c r="J23" i="1"/>
  <c r="K42" i="1"/>
  <c r="K43" i="1"/>
  <c r="M46" i="1"/>
  <c r="M19" i="1"/>
  <c r="M20" i="1"/>
  <c r="M22" i="1"/>
  <c r="M23" i="1"/>
  <c r="M42" i="1"/>
  <c r="M43" i="1"/>
  <c r="M47" i="1"/>
  <c r="AE46" i="1"/>
  <c r="AF30" i="1"/>
  <c r="AF32" i="1"/>
  <c r="AF37" i="1"/>
  <c r="AF53" i="1"/>
  <c r="AE30" i="1"/>
  <c r="U50" i="1"/>
  <c r="U51" i="1"/>
  <c r="G24" i="1"/>
  <c r="G50" i="1"/>
  <c r="E31" i="4"/>
  <c r="F32" i="4"/>
  <c r="E38" i="4"/>
  <c r="AQ30" i="1"/>
  <c r="AR30" i="1"/>
  <c r="AR32" i="1"/>
  <c r="AR37" i="1"/>
  <c r="AR53" i="1"/>
  <c r="AQ46" i="1"/>
  <c r="AQ19" i="1"/>
  <c r="AQ20" i="1"/>
  <c r="AQ22" i="1"/>
  <c r="J24" i="1"/>
  <c r="L50" i="1"/>
  <c r="L51" i="1"/>
  <c r="L53" i="1"/>
  <c r="D46" i="1"/>
  <c r="D19" i="1"/>
  <c r="D20" i="1"/>
  <c r="D22" i="1"/>
  <c r="AT30" i="1"/>
  <c r="AU30" i="1"/>
  <c r="AU32" i="1"/>
  <c r="AU37" i="1"/>
  <c r="AU53" i="1"/>
  <c r="AT46" i="1"/>
  <c r="AT19" i="1"/>
  <c r="AT20" i="1"/>
  <c r="AT22" i="1"/>
  <c r="AT23" i="1"/>
  <c r="AU42" i="1"/>
  <c r="AU43" i="1"/>
  <c r="AU47" i="1"/>
  <c r="AH24" i="1"/>
  <c r="AH50" i="1"/>
  <c r="W31" i="4"/>
  <c r="X32" i="4"/>
  <c r="AW46" i="1"/>
  <c r="AG18" i="4"/>
  <c r="AH19" i="4"/>
  <c r="AG23" i="4"/>
  <c r="AZ22" i="1"/>
  <c r="AZ23" i="1"/>
  <c r="BB42" i="1"/>
  <c r="BB43" i="1"/>
  <c r="Y46" i="1"/>
  <c r="Y19" i="1"/>
  <c r="Y20" i="1"/>
  <c r="Y22" i="1"/>
  <c r="Y24" i="1"/>
  <c r="Y50" i="1"/>
  <c r="Q31" i="4"/>
  <c r="R32" i="4"/>
  <c r="G46" i="1"/>
  <c r="G19" i="1"/>
  <c r="G20" i="1"/>
  <c r="G22" i="1"/>
  <c r="G23" i="1"/>
  <c r="G42" i="1"/>
  <c r="G43" i="1"/>
  <c r="AZ30" i="1"/>
  <c r="BA30" i="1"/>
  <c r="BA32" i="1"/>
  <c r="BA37" i="1"/>
  <c r="BA53" i="1"/>
  <c r="AZ46" i="1"/>
  <c r="AZ19" i="1"/>
  <c r="AZ20" i="1"/>
  <c r="P19" i="1"/>
  <c r="P20" i="1"/>
  <c r="P22" i="1"/>
  <c r="S30" i="1"/>
  <c r="T30" i="1"/>
  <c r="T32" i="1"/>
  <c r="T37" i="1"/>
  <c r="T53" i="1"/>
  <c r="S46" i="1"/>
  <c r="S19" i="1"/>
  <c r="S20" i="1"/>
  <c r="S22" i="1"/>
  <c r="S24" i="1"/>
  <c r="S50" i="1"/>
  <c r="M31" i="4"/>
  <c r="N32" i="4"/>
  <c r="M38" i="4"/>
  <c r="M47" i="4"/>
  <c r="AN30" i="1"/>
  <c r="AO30" i="1"/>
  <c r="AO32" i="1"/>
  <c r="AO37" i="1"/>
  <c r="AO53" i="1"/>
  <c r="AN46" i="1"/>
  <c r="AN19" i="1"/>
  <c r="AN20" i="1"/>
  <c r="AN22" i="1"/>
  <c r="AN24" i="1"/>
  <c r="AN50" i="1"/>
  <c r="AA31" i="4"/>
  <c r="AB32" i="4"/>
  <c r="AA38" i="4"/>
  <c r="AA47" i="4"/>
  <c r="AH46" i="1"/>
  <c r="AH19" i="1"/>
  <c r="AH20" i="1"/>
  <c r="AH22" i="1"/>
  <c r="AB30" i="1"/>
  <c r="AC30" i="1"/>
  <c r="AC32" i="1"/>
  <c r="AC37" i="1"/>
  <c r="AC53" i="1"/>
  <c r="N53" i="1"/>
  <c r="M30" i="1"/>
  <c r="N30" i="1"/>
  <c r="N32" i="1"/>
  <c r="N37" i="1"/>
  <c r="AH30" i="1"/>
  <c r="AI30" i="1"/>
  <c r="AI32" i="1"/>
  <c r="AI37" i="1"/>
  <c r="AI53" i="1"/>
  <c r="P30" i="1"/>
  <c r="Q30" i="1"/>
  <c r="Q32" i="1"/>
  <c r="Q37" i="1"/>
  <c r="Q53" i="1"/>
  <c r="P46" i="1"/>
  <c r="AK30" i="1"/>
  <c r="AL30" i="1"/>
  <c r="AL32" i="1"/>
  <c r="AL37" i="1"/>
  <c r="AL53" i="1"/>
  <c r="AK46" i="1"/>
  <c r="Y18" i="4"/>
  <c r="Y21" i="4"/>
  <c r="Z16" i="4"/>
  <c r="Y23" i="4"/>
  <c r="Z30" i="4"/>
  <c r="AW30" i="1"/>
  <c r="AX30" i="1"/>
  <c r="AX32" i="1"/>
  <c r="AX37" i="1"/>
  <c r="AX53" i="1"/>
  <c r="Y30" i="1"/>
  <c r="Z30" i="1"/>
  <c r="Z32" i="1"/>
  <c r="Z37" i="1"/>
  <c r="Z53" i="1"/>
  <c r="E53" i="1"/>
  <c r="D30" i="1"/>
  <c r="E30" i="1"/>
  <c r="E32" i="1"/>
  <c r="E37" i="1"/>
  <c r="G30" i="1"/>
  <c r="H30" i="1"/>
  <c r="H32" i="1"/>
  <c r="H37" i="1"/>
  <c r="H53" i="1"/>
  <c r="J30" i="1"/>
  <c r="K30" i="1"/>
  <c r="K32" i="1"/>
  <c r="K37" i="1"/>
  <c r="K53" i="1"/>
  <c r="J46" i="1"/>
  <c r="J19" i="1"/>
  <c r="J20" i="1"/>
  <c r="J22" i="1"/>
</calcChain>
</file>

<file path=xl/sharedStrings.xml><?xml version="1.0" encoding="utf-8"?>
<sst xmlns="http://schemas.openxmlformats.org/spreadsheetml/2006/main" count="391" uniqueCount="335">
  <si>
    <t>Forecasted Income Statement</t>
  </si>
  <si>
    <t>CJLB inc.</t>
  </si>
  <si>
    <t>Revenue</t>
  </si>
  <si>
    <t>Sales</t>
  </si>
  <si>
    <t>Self Served</t>
  </si>
  <si>
    <t>Cost of Good Sold</t>
  </si>
  <si>
    <t>Net Sales</t>
  </si>
  <si>
    <t>Expenses</t>
  </si>
  <si>
    <t>General and Administrative</t>
  </si>
  <si>
    <t>Utility</t>
  </si>
  <si>
    <t>Operating Profit</t>
  </si>
  <si>
    <t>Depreciation</t>
  </si>
  <si>
    <t>Mortgage Interest</t>
  </si>
  <si>
    <t>Loan Interest</t>
  </si>
  <si>
    <t>Income Tax</t>
  </si>
  <si>
    <t>Net Income After Taxes</t>
  </si>
  <si>
    <t>Net Income Before Taxes</t>
  </si>
  <si>
    <t>Forecasted Balance Sheet</t>
  </si>
  <si>
    <t>CJLB Inc.</t>
  </si>
  <si>
    <t>Assets</t>
  </si>
  <si>
    <t>Current Assets</t>
  </si>
  <si>
    <t>Cash</t>
  </si>
  <si>
    <t>Inventories</t>
  </si>
  <si>
    <t>Total Current Assets</t>
  </si>
  <si>
    <t>Fixed Assets</t>
  </si>
  <si>
    <t>PP&amp;E</t>
  </si>
  <si>
    <t>Acc. Depreciation</t>
  </si>
  <si>
    <t>Total Fixed Assets</t>
  </si>
  <si>
    <t>Total Assets</t>
  </si>
  <si>
    <t>Liabilities</t>
  </si>
  <si>
    <t>Accured Taxes</t>
  </si>
  <si>
    <t>Total Current Liabilities</t>
  </si>
  <si>
    <t>Long Term Debt</t>
  </si>
  <si>
    <t>Bank Loan</t>
  </si>
  <si>
    <t>Total Liabilities</t>
  </si>
  <si>
    <t xml:space="preserve">Equity </t>
  </si>
  <si>
    <t>Shareholder Conributions</t>
  </si>
  <si>
    <t>Retained Earning</t>
  </si>
  <si>
    <t>Total Liabilities and Equity</t>
  </si>
  <si>
    <t>Current Ratio</t>
  </si>
  <si>
    <t>Debt to Equity</t>
  </si>
  <si>
    <t>ROA</t>
  </si>
  <si>
    <t>ROE</t>
  </si>
  <si>
    <t>Ratio:</t>
  </si>
  <si>
    <t>Beg Balance</t>
  </si>
  <si>
    <t>Principal</t>
  </si>
  <si>
    <t xml:space="preserve">Interest </t>
  </si>
  <si>
    <t>Payment</t>
  </si>
  <si>
    <t>End Balance</t>
  </si>
  <si>
    <t>Rate</t>
  </si>
  <si>
    <t>January 2012</t>
  </si>
  <si>
    <t>February 2012</t>
  </si>
  <si>
    <t>March 2012</t>
  </si>
  <si>
    <t>Per</t>
  </si>
  <si>
    <t>April 2012</t>
  </si>
  <si>
    <t>Type</t>
  </si>
  <si>
    <t>May 2012</t>
  </si>
  <si>
    <t>PV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</si>
  <si>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</si>
  <si>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</si>
  <si>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</si>
  <si>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</si>
  <si>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</si>
  <si>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</si>
  <si>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</si>
  <si>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</si>
  <si>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</si>
  <si>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</si>
  <si>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</si>
  <si>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</si>
  <si>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</si>
  <si>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</si>
  <si>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</si>
  <si>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</si>
  <si>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</si>
  <si>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</si>
  <si>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</si>
  <si>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</si>
  <si>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</si>
  <si>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</si>
  <si>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</si>
  <si>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</si>
  <si>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</si>
  <si>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</si>
  <si>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</si>
  <si>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</si>
  <si>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</si>
  <si>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</si>
  <si>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</si>
  <si>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</si>
  <si>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</si>
  <si>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</si>
  <si>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</si>
  <si>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</si>
  <si>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</si>
  <si>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</si>
  <si>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</si>
  <si>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</si>
  <si>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</si>
  <si>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</si>
  <si>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</si>
  <si>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</si>
  <si>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Assumptions</t>
  </si>
  <si>
    <t>Info</t>
  </si>
  <si>
    <t>People</t>
  </si>
  <si>
    <t>Time</t>
  </si>
  <si>
    <t>Growth</t>
  </si>
  <si>
    <t>Cost</t>
  </si>
  <si>
    <t>Inventory Turnover Ratio</t>
  </si>
  <si>
    <t>Supplies</t>
  </si>
  <si>
    <t>General and Administrative Expense</t>
  </si>
  <si>
    <t>Utility Expense</t>
  </si>
  <si>
    <t>Payable</t>
  </si>
  <si>
    <t>Building, Equipment, Furnishing</t>
  </si>
  <si>
    <t>Initial Funding</t>
  </si>
  <si>
    <t>Equity</t>
  </si>
  <si>
    <t>Mortgage</t>
  </si>
  <si>
    <t>Interest for Need Cash</t>
  </si>
  <si>
    <t>Mimumin Amount of Cash</t>
  </si>
  <si>
    <t>Year</t>
  </si>
  <si>
    <t>per year</t>
  </si>
  <si>
    <t>per day</t>
  </si>
  <si>
    <t>Income</t>
  </si>
  <si>
    <t>per car</t>
  </si>
  <si>
    <t>Minutes</t>
  </si>
  <si>
    <t>Price</t>
  </si>
  <si>
    <t>per minute</t>
  </si>
  <si>
    <t>Repairs Expense</t>
  </si>
  <si>
    <t>of Revenue</t>
  </si>
  <si>
    <t>Supply Expense</t>
  </si>
  <si>
    <t>days</t>
  </si>
  <si>
    <t>Repairs</t>
  </si>
  <si>
    <t>Operating Expense</t>
  </si>
  <si>
    <t>Utility Payable</t>
  </si>
  <si>
    <t>Repairs Payable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</si>
  <si>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</si>
  <si>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</si>
  <si>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</si>
  <si>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</si>
  <si>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</si>
  <si>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</si>
  <si>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</si>
  <si>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</si>
  <si>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</si>
  <si>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</si>
  <si>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</si>
  <si>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</si>
  <si>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</si>
  <si>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</si>
  <si>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</si>
  <si>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</si>
  <si>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</si>
  <si>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</si>
  <si>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</si>
  <si>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</si>
  <si>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</si>
  <si>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</si>
  <si>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</si>
  <si>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</si>
  <si>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</si>
  <si>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</si>
  <si>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</si>
  <si>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</si>
  <si>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</si>
  <si>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</si>
  <si>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</si>
  <si>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</si>
  <si>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</si>
  <si>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</si>
  <si>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</si>
  <si>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</si>
  <si>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</si>
  <si>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</si>
  <si>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</si>
  <si>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</si>
  <si>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</si>
  <si>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</si>
  <si>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</si>
  <si>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</si>
  <si>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</si>
  <si>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</si>
  <si>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</si>
  <si>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</si>
  <si>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</si>
  <si>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</si>
  <si>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</si>
  <si>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</si>
  <si>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</si>
  <si>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</si>
  <si>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</si>
  <si>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</si>
  <si>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</si>
  <si>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</si>
  <si>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</si>
  <si>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</si>
  <si>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</si>
  <si>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</si>
  <si>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</si>
  <si>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</si>
  <si>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</si>
  <si>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</si>
  <si>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</si>
  <si>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</si>
  <si>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</si>
  <si>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</si>
  <si>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</si>
  <si>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</si>
  <si>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</si>
  <si>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</si>
  <si>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</si>
  <si>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</si>
  <si>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</si>
  <si>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</si>
  <si>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</si>
  <si>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</si>
  <si>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</si>
  <si>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</si>
  <si>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</si>
  <si>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</si>
  <si>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</si>
  <si>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</si>
  <si>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</si>
  <si>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</si>
  <si>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</si>
  <si>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</si>
  <si>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</si>
  <si>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</si>
  <si>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</si>
  <si>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</si>
  <si>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</si>
  <si>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</si>
  <si>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</si>
  <si>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</si>
  <si>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</si>
  <si>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</si>
  <si>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</si>
  <si>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</si>
  <si>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</si>
  <si>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</si>
  <si>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</si>
  <si>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</si>
  <si>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</si>
  <si>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</si>
  <si>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</si>
  <si>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</si>
  <si>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</si>
  <si>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</si>
  <si>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</si>
  <si>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</si>
  <si>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</si>
  <si>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</si>
  <si>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</si>
  <si>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</si>
  <si>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</si>
  <si>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</si>
  <si>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</si>
  <si>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</si>
  <si>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</si>
  <si>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</si>
  <si>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</si>
  <si>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</si>
  <si>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July 2026</t>
  </si>
  <si>
    <t>August 2026</t>
  </si>
  <si>
    <t>September 2026</t>
  </si>
  <si>
    <t>October 2026</t>
  </si>
  <si>
    <t>November 2026</t>
  </si>
  <si>
    <t>December 2026</t>
  </si>
  <si>
    <t>Inflation</t>
  </si>
  <si>
    <t>Bays</t>
  </si>
  <si>
    <t>WACC AS IS</t>
  </si>
  <si>
    <t>CAPM to determine the return (cost) for equity holders</t>
  </si>
  <si>
    <t>Projected return of T-Bills</t>
  </si>
  <si>
    <t xml:space="preserve">Projected return of S&amp;P 500 </t>
  </si>
  <si>
    <t>Risk Premium (Spread) of S&amp;P 500</t>
  </si>
  <si>
    <t>Current Equity Holders Return (Cost)</t>
  </si>
  <si>
    <t>Blended Cost of Debt - to determine the return (cost) for debt holders</t>
  </si>
  <si>
    <t>Mortgage on Buildings</t>
  </si>
  <si>
    <t>Bank Loans</t>
  </si>
  <si>
    <t>Current Cost of Debt</t>
  </si>
  <si>
    <t>Tax Rate of the Company</t>
  </si>
  <si>
    <t>Proportions of Debt and Equity</t>
  </si>
  <si>
    <t>Debt</t>
  </si>
  <si>
    <t>Current Beta (Equity Beta)</t>
  </si>
  <si>
    <t>Proprtion of Debt</t>
  </si>
  <si>
    <t>Proportion of Equity</t>
  </si>
  <si>
    <t>WACC</t>
  </si>
  <si>
    <t>NEW WACC</t>
  </si>
  <si>
    <t>Unlever and Relever the Beta</t>
  </si>
  <si>
    <t>Old (Equity) Beta</t>
  </si>
  <si>
    <t>Current Debt Proportion</t>
  </si>
  <si>
    <t>Current Equity Proportion</t>
  </si>
  <si>
    <t>Unlevered Beta (zero debt)</t>
  </si>
  <si>
    <t>New Debt Proportion</t>
  </si>
  <si>
    <t>New Equity Proportion</t>
  </si>
  <si>
    <t>Relevered Beta (70/30)</t>
  </si>
  <si>
    <t>New Beta 70/30 Equity Holders Cost</t>
  </si>
  <si>
    <t>New Beta (70/30 Co)</t>
  </si>
  <si>
    <t>Proportion of Debt</t>
  </si>
  <si>
    <t>Total Debt</t>
  </si>
  <si>
    <t>Proportion</t>
  </si>
  <si>
    <t>Interest Rate</t>
  </si>
  <si>
    <t>Total</t>
  </si>
  <si>
    <t>Years</t>
  </si>
  <si>
    <t>People per bay</t>
  </si>
  <si>
    <t>per bay per day</t>
  </si>
  <si>
    <t>Total Long Term Expenses</t>
  </si>
  <si>
    <t>Resoucres</t>
  </si>
  <si>
    <t>http://people.stern.nyu.edu/adamodar/New_Home_Page/datafile/Betas.html</t>
  </si>
  <si>
    <t>Equity Beta</t>
  </si>
  <si>
    <t>Property</t>
  </si>
  <si>
    <t>http://www.bizbuysell.com/Business-Opportunity/Car-Wash-Self-Serv-East-Dallas-w-land-Minimal-Time/609360/?d=%2fwEFWiUyZnRleGFzJTJmYXV0by1yZXBhaXItcGFydHMtYnVzaW5lc3Nlcy1mb3Itc2FsZSUyZiUzZnElM2QlMmZ3RUZFR3M5WTJGeUlIZGhjMmdtY25SelBURSUzZA%3d%3d</t>
  </si>
  <si>
    <t>CAPM to determine the return (cost) for Equity Holders</t>
  </si>
  <si>
    <t>FREE CASH FLOWS, NPV, IRR</t>
  </si>
  <si>
    <t>Cash from Operations</t>
  </si>
  <si>
    <t>Operation Profit</t>
  </si>
  <si>
    <t>Less: Depreciation</t>
  </si>
  <si>
    <t>Taxable Op Income</t>
  </si>
  <si>
    <t>Income Tax from Operation</t>
  </si>
  <si>
    <t>Cash From Operations</t>
  </si>
  <si>
    <t>Cash from Capital Expenditures</t>
  </si>
  <si>
    <t>Changes in Working Capital</t>
  </si>
  <si>
    <t>Inventory Cash</t>
  </si>
  <si>
    <t>Liquidation of Working Capital</t>
  </si>
  <si>
    <t>Total Cash Flow</t>
  </si>
  <si>
    <t>Present Value to 0</t>
  </si>
  <si>
    <t>NPV</t>
  </si>
  <si>
    <t>IRR</t>
  </si>
  <si>
    <t>Buy Car Wash</t>
  </si>
  <si>
    <t>Sell Car Wash</t>
  </si>
  <si>
    <t>Book Value</t>
  </si>
  <si>
    <t>Free Cash Flow</t>
  </si>
  <si>
    <t>Sales Tax on Gains from Car Wash</t>
  </si>
  <si>
    <t>Percent of Book Value</t>
  </si>
  <si>
    <t>Income Tax Payable on Operations</t>
  </si>
  <si>
    <t>Is this right?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</si>
</sst>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* #,##0.00_);_(* \(#,##0.00\);_(* \-??_);_(@_)"/>
    <numFmt numFmtId="166" formatCode="[$$-409]#,##0.00;[Red]\-[$$-409]#,##0.00"/>
    <numFmt numFmtId="167" formatCode="[$$-409]#,##0.00;[Red][$$-409]#,##0.00"/>
    <numFmt numFmtId="168" formatCode="0.000"/>
    <numFmt numFmtId="169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u/>
      <sz val="5.5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4" fillId="0" borderId="0"/>
    <xf numFmtId="164" fontId="4" fillId="0" borderId="0"/>
    <xf numFmtId="0" fontId="4" fillId="0" borderId="0"/>
    <xf numFmtId="9" fontId="4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/>
    </xf>
    <xf numFmtId="0" fontId="3" fillId="0" borderId="0" xfId="3"/>
    <xf numFmtId="10" fontId="3" fillId="0" borderId="0" xfId="3" applyNumberFormat="1"/>
    <xf numFmtId="166" fontId="3" fillId="0" borderId="0" xfId="3" applyNumberFormat="1" applyFont="1" applyAlignment="1">
      <alignment wrapText="1"/>
    </xf>
    <xf numFmtId="0" fontId="3" fillId="0" borderId="0" xfId="3" applyFont="1" applyAlignment="1">
      <alignment wrapText="1"/>
    </xf>
    <xf numFmtId="166" fontId="3" fillId="0" borderId="0" xfId="3" applyNumberFormat="1"/>
    <xf numFmtId="0" fontId="5" fillId="0" borderId="0" xfId="3" applyFont="1" applyAlignment="1">
      <alignment wrapText="1"/>
    </xf>
    <xf numFmtId="0" fontId="3" fillId="0" borderId="0" xfId="3" applyFill="1"/>
    <xf numFmtId="0" fontId="0" fillId="0" borderId="1" xfId="0" applyBorder="1"/>
    <xf numFmtId="0" fontId="0" fillId="0" borderId="0" xfId="0" applyBorder="1"/>
    <xf numFmtId="44" fontId="0" fillId="0" borderId="0" xfId="1" applyFont="1"/>
    <xf numFmtId="44" fontId="0" fillId="0" borderId="0" xfId="0" applyNumberFormat="1"/>
    <xf numFmtId="0" fontId="2" fillId="0" borderId="0" xfId="0" applyFont="1" applyBorder="1"/>
    <xf numFmtId="167" fontId="0" fillId="0" borderId="0" xfId="0" applyNumberFormat="1"/>
    <xf numFmtId="0" fontId="0" fillId="0" borderId="1" xfId="0" applyFont="1" applyBorder="1"/>
    <xf numFmtId="44" fontId="0" fillId="0" borderId="1" xfId="0" applyNumberFormat="1" applyBorder="1"/>
    <xf numFmtId="0" fontId="0" fillId="0" borderId="2" xfId="0" applyBorder="1"/>
    <xf numFmtId="44" fontId="5" fillId="0" borderId="0" xfId="1" applyFont="1" applyAlignment="1">
      <alignment wrapText="1"/>
    </xf>
    <xf numFmtId="166" fontId="5" fillId="0" borderId="0" xfId="1" applyNumberFormat="1" applyFont="1" applyAlignment="1">
      <alignment wrapText="1"/>
    </xf>
    <xf numFmtId="0" fontId="0" fillId="0" borderId="0" xfId="0" applyFill="1"/>
    <xf numFmtId="0" fontId="0" fillId="0" borderId="1" xfId="0" applyFill="1" applyBorder="1"/>
    <xf numFmtId="44" fontId="0" fillId="0" borderId="3" xfId="0" applyNumberFormat="1" applyBorder="1"/>
    <xf numFmtId="10" fontId="0" fillId="0" borderId="1" xfId="2" applyNumberFormat="1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2" fillId="0" borderId="9" xfId="0" applyFont="1" applyBorder="1"/>
    <xf numFmtId="0" fontId="0" fillId="0" borderId="9" xfId="0" applyBorder="1" applyAlignment="1">
      <alignment horizontal="left" indent="1"/>
    </xf>
    <xf numFmtId="0" fontId="0" fillId="0" borderId="9" xfId="0" applyBorder="1" applyAlignment="1">
      <alignment horizontal="left" indent="2"/>
    </xf>
    <xf numFmtId="44" fontId="0" fillId="0" borderId="0" xfId="0" applyNumberFormat="1" applyBorder="1"/>
    <xf numFmtId="0" fontId="0" fillId="0" borderId="9" xfId="0" applyBorder="1" applyAlignment="1">
      <alignment horizontal="left" indent="3"/>
    </xf>
    <xf numFmtId="0" fontId="0" fillId="0" borderId="9" xfId="0" applyBorder="1"/>
    <xf numFmtId="0" fontId="0" fillId="0" borderId="9" xfId="0" applyFill="1" applyBorder="1" applyAlignment="1">
      <alignment horizontal="left" indent="1"/>
    </xf>
    <xf numFmtId="0" fontId="0" fillId="0" borderId="0" xfId="0" applyFill="1" applyBorder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9" xfId="0" applyFont="1" applyBorder="1" applyAlignment="1">
      <alignment horizontal="left"/>
    </xf>
    <xf numFmtId="44" fontId="0" fillId="0" borderId="0" xfId="1" applyFont="1" applyBorder="1"/>
    <xf numFmtId="0" fontId="0" fillId="0" borderId="7" xfId="0" applyFont="1" applyBorder="1"/>
    <xf numFmtId="0" fontId="0" fillId="0" borderId="9" xfId="0" applyFill="1" applyBorder="1" applyAlignment="1">
      <alignment horizontal="left" indent="2"/>
    </xf>
    <xf numFmtId="43" fontId="0" fillId="0" borderId="0" xfId="8" applyFont="1" applyBorder="1"/>
    <xf numFmtId="10" fontId="0" fillId="0" borderId="0" xfId="2" applyNumberFormat="1" applyFont="1" applyBorder="1"/>
    <xf numFmtId="0" fontId="4" fillId="0" borderId="0" xfId="6" applyBorder="1"/>
    <xf numFmtId="0" fontId="4" fillId="0" borderId="1" xfId="6" applyBorder="1"/>
    <xf numFmtId="10" fontId="0" fillId="0" borderId="0" xfId="2" applyNumberFormat="1" applyFont="1" applyFill="1" applyBorder="1"/>
    <xf numFmtId="10" fontId="0" fillId="0" borderId="1" xfId="2" applyNumberFormat="1" applyFont="1" applyFill="1" applyBorder="1"/>
    <xf numFmtId="10" fontId="0" fillId="0" borderId="0" xfId="0" applyNumberFormat="1" applyFill="1" applyBorder="1"/>
    <xf numFmtId="0" fontId="4" fillId="0" borderId="0" xfId="6" applyFill="1" applyBorder="1"/>
    <xf numFmtId="0" fontId="4" fillId="0" borderId="0" xfId="6" applyFill="1" applyBorder="1" applyAlignment="1">
      <alignment horizontal="left" indent="2"/>
    </xf>
    <xf numFmtId="0" fontId="4" fillId="0" borderId="0" xfId="6" applyBorder="1" applyAlignment="1">
      <alignment horizontal="left" indent="2"/>
    </xf>
    <xf numFmtId="44" fontId="0" fillId="0" borderId="1" xfId="0" applyNumberFormat="1" applyFill="1" applyBorder="1"/>
    <xf numFmtId="0" fontId="6" fillId="0" borderId="4" xfId="6" applyFont="1" applyBorder="1"/>
    <xf numFmtId="0" fontId="4" fillId="0" borderId="5" xfId="6" applyBorder="1"/>
    <xf numFmtId="0" fontId="4" fillId="0" borderId="9" xfId="6" applyBorder="1"/>
    <xf numFmtId="0" fontId="7" fillId="0" borderId="9" xfId="6" applyFont="1" applyBorder="1"/>
    <xf numFmtId="0" fontId="7" fillId="0" borderId="9" xfId="6" applyFont="1" applyFill="1" applyBorder="1"/>
    <xf numFmtId="0" fontId="4" fillId="0" borderId="9" xfId="6" applyFill="1" applyBorder="1"/>
    <xf numFmtId="0" fontId="4" fillId="0" borderId="7" xfId="6" applyBorder="1"/>
    <xf numFmtId="0" fontId="7" fillId="0" borderId="7" xfId="6" applyFont="1" applyBorder="1"/>
    <xf numFmtId="0" fontId="0" fillId="2" borderId="0" xfId="0" applyFill="1" applyBorder="1"/>
    <xf numFmtId="44" fontId="0" fillId="2" borderId="0" xfId="0" applyNumberFormat="1" applyFill="1" applyBorder="1"/>
    <xf numFmtId="10" fontId="0" fillId="2" borderId="0" xfId="2" applyNumberFormat="1" applyFont="1" applyFill="1" applyBorder="1"/>
    <xf numFmtId="44" fontId="0" fillId="2" borderId="1" xfId="0" applyNumberFormat="1" applyFill="1" applyBorder="1"/>
    <xf numFmtId="10" fontId="0" fillId="2" borderId="1" xfId="2" applyNumberFormat="1" applyFont="1" applyFill="1" applyBorder="1"/>
    <xf numFmtId="0" fontId="0" fillId="2" borderId="1" xfId="0" applyFill="1" applyBorder="1"/>
    <xf numFmtId="10" fontId="0" fillId="2" borderId="0" xfId="0" applyNumberFormat="1" applyFill="1" applyBorder="1"/>
    <xf numFmtId="0" fontId="0" fillId="2" borderId="10" xfId="0" applyFill="1" applyBorder="1"/>
    <xf numFmtId="44" fontId="0" fillId="2" borderId="10" xfId="0" applyNumberFormat="1" applyFill="1" applyBorder="1"/>
    <xf numFmtId="10" fontId="0" fillId="2" borderId="10" xfId="2" applyNumberFormat="1" applyFont="1" applyFill="1" applyBorder="1"/>
    <xf numFmtId="10" fontId="0" fillId="2" borderId="8" xfId="2" applyNumberFormat="1" applyFont="1" applyFill="1" applyBorder="1"/>
    <xf numFmtId="10" fontId="0" fillId="2" borderId="10" xfId="0" applyNumberFormat="1" applyFill="1" applyBorder="1"/>
    <xf numFmtId="0" fontId="0" fillId="2" borderId="8" xfId="0" applyFill="1" applyBorder="1"/>
    <xf numFmtId="0" fontId="0" fillId="2" borderId="5" xfId="0" applyFill="1" applyBorder="1"/>
    <xf numFmtId="44" fontId="0" fillId="2" borderId="0" xfId="1" applyFont="1" applyFill="1" applyBorder="1"/>
    <xf numFmtId="44" fontId="0" fillId="2" borderId="3" xfId="0" applyNumberFormat="1" applyFill="1" applyBorder="1"/>
    <xf numFmtId="0" fontId="0" fillId="2" borderId="1" xfId="0" applyFont="1" applyFill="1" applyBorder="1"/>
    <xf numFmtId="43" fontId="0" fillId="2" borderId="0" xfId="8" applyFont="1" applyFill="1" applyBorder="1"/>
    <xf numFmtId="0" fontId="0" fillId="2" borderId="2" xfId="0" applyFill="1" applyBorder="1"/>
    <xf numFmtId="0" fontId="0" fillId="2" borderId="6" xfId="0" applyFill="1" applyBorder="1"/>
    <xf numFmtId="44" fontId="0" fillId="2" borderId="8" xfId="0" applyNumberFormat="1" applyFill="1" applyBorder="1"/>
    <xf numFmtId="44" fontId="0" fillId="2" borderId="10" xfId="1" applyFont="1" applyFill="1" applyBorder="1"/>
    <xf numFmtId="44" fontId="0" fillId="2" borderId="11" xfId="0" applyNumberFormat="1" applyFill="1" applyBorder="1"/>
    <xf numFmtId="0" fontId="0" fillId="2" borderId="8" xfId="0" applyFont="1" applyFill="1" applyBorder="1"/>
    <xf numFmtId="44" fontId="0" fillId="2" borderId="8" xfId="1" applyFont="1" applyFill="1" applyBorder="1"/>
    <xf numFmtId="43" fontId="0" fillId="2" borderId="10" xfId="8" applyFont="1" applyFill="1" applyBorder="1"/>
    <xf numFmtId="0" fontId="0" fillId="2" borderId="12" xfId="0" applyFill="1" applyBorder="1"/>
    <xf numFmtId="0" fontId="2" fillId="0" borderId="9" xfId="0" applyFont="1" applyFill="1" applyBorder="1"/>
    <xf numFmtId="166" fontId="3" fillId="2" borderId="0" xfId="3" applyNumberFormat="1" applyFont="1" applyFill="1" applyAlignment="1">
      <alignment wrapText="1"/>
    </xf>
    <xf numFmtId="0" fontId="3" fillId="2" borderId="0" xfId="3" applyFill="1"/>
    <xf numFmtId="0" fontId="5" fillId="2" borderId="0" xfId="3" applyFont="1" applyFill="1" applyAlignment="1">
      <alignment wrapText="1"/>
    </xf>
    <xf numFmtId="44" fontId="5" fillId="2" borderId="0" xfId="1" applyFont="1" applyFill="1" applyAlignment="1">
      <alignment wrapText="1"/>
    </xf>
    <xf numFmtId="166" fontId="5" fillId="2" borderId="0" xfId="1" applyNumberFormat="1" applyFont="1" applyFill="1" applyAlignment="1">
      <alignment wrapText="1"/>
    </xf>
    <xf numFmtId="0" fontId="0" fillId="2" borderId="0" xfId="0" applyFill="1"/>
    <xf numFmtId="44" fontId="0" fillId="2" borderId="0" xfId="0" applyNumberFormat="1" applyFill="1"/>
    <xf numFmtId="44" fontId="0" fillId="2" borderId="0" xfId="1" applyFont="1" applyFill="1"/>
    <xf numFmtId="43" fontId="0" fillId="0" borderId="0" xfId="8" applyFont="1" applyFill="1" applyBorder="1"/>
    <xf numFmtId="0" fontId="0" fillId="2" borderId="0" xfId="0" applyFont="1" applyFill="1" applyBorder="1"/>
    <xf numFmtId="0" fontId="0" fillId="2" borderId="10" xfId="0" applyFont="1" applyFill="1" applyBorder="1"/>
    <xf numFmtId="43" fontId="0" fillId="2" borderId="1" xfId="8" applyFont="1" applyFill="1" applyBorder="1"/>
    <xf numFmtId="43" fontId="0" fillId="0" borderId="1" xfId="8" applyFont="1" applyBorder="1"/>
    <xf numFmtId="43" fontId="0" fillId="0" borderId="1" xfId="8" applyFont="1" applyFill="1" applyBorder="1"/>
    <xf numFmtId="43" fontId="0" fillId="2" borderId="8" xfId="8" applyFont="1" applyFill="1" applyBorder="1"/>
    <xf numFmtId="2" fontId="0" fillId="0" borderId="0" xfId="0" applyNumberFormat="1"/>
    <xf numFmtId="2" fontId="0" fillId="2" borderId="0" xfId="0" applyNumberFormat="1" applyFill="1"/>
    <xf numFmtId="0" fontId="0" fillId="3" borderId="0" xfId="0" applyFill="1" applyBorder="1"/>
    <xf numFmtId="0" fontId="0" fillId="3" borderId="0" xfId="0" applyFill="1"/>
    <xf numFmtId="10" fontId="0" fillId="3" borderId="0" xfId="2" applyNumberFormat="1" applyFont="1" applyFill="1"/>
    <xf numFmtId="9" fontId="0" fillId="3" borderId="0" xfId="2" applyFont="1" applyFill="1"/>
    <xf numFmtId="13" fontId="0" fillId="3" borderId="0" xfId="0" applyNumberFormat="1" applyFill="1"/>
    <xf numFmtId="44" fontId="0" fillId="3" borderId="0" xfId="1" applyFont="1" applyFill="1"/>
    <xf numFmtId="0" fontId="2" fillId="0" borderId="0" xfId="0" applyFont="1"/>
    <xf numFmtId="0" fontId="3" fillId="2" borderId="4" xfId="3" applyFont="1" applyFill="1" applyBorder="1" applyAlignment="1">
      <alignment wrapText="1"/>
    </xf>
    <xf numFmtId="166" fontId="3" fillId="2" borderId="5" xfId="3" applyNumberFormat="1" applyFont="1" applyFill="1" applyBorder="1" applyAlignment="1">
      <alignment wrapText="1"/>
    </xf>
    <xf numFmtId="0" fontId="3" fillId="2" borderId="6" xfId="3" applyFill="1" applyBorder="1"/>
    <xf numFmtId="0" fontId="3" fillId="2" borderId="9" xfId="3" applyFont="1" applyFill="1" applyBorder="1" applyAlignment="1">
      <alignment wrapText="1"/>
    </xf>
    <xf numFmtId="166" fontId="3" fillId="2" borderId="0" xfId="3" applyNumberFormat="1" applyFont="1" applyFill="1" applyBorder="1" applyAlignment="1">
      <alignment wrapText="1"/>
    </xf>
    <xf numFmtId="0" fontId="3" fillId="2" borderId="10" xfId="3" applyFill="1" applyBorder="1"/>
    <xf numFmtId="0" fontId="3" fillId="2" borderId="7" xfId="3" applyFont="1" applyFill="1" applyBorder="1" applyAlignment="1">
      <alignment wrapText="1"/>
    </xf>
    <xf numFmtId="166" fontId="3" fillId="2" borderId="1" xfId="3" applyNumberFormat="1" applyFont="1" applyFill="1" applyBorder="1" applyAlignment="1">
      <alignment wrapText="1"/>
    </xf>
    <xf numFmtId="0" fontId="3" fillId="2" borderId="8" xfId="3" applyFill="1" applyBorder="1"/>
    <xf numFmtId="0" fontId="3" fillId="0" borderId="4" xfId="3" applyFont="1" applyBorder="1" applyAlignment="1">
      <alignment wrapText="1"/>
    </xf>
    <xf numFmtId="166" fontId="3" fillId="0" borderId="5" xfId="3" applyNumberFormat="1" applyFont="1" applyBorder="1" applyAlignment="1">
      <alignment wrapText="1"/>
    </xf>
    <xf numFmtId="0" fontId="3" fillId="0" borderId="6" xfId="3" applyBorder="1"/>
    <xf numFmtId="0" fontId="3" fillId="0" borderId="9" xfId="3" applyFont="1" applyBorder="1" applyAlignment="1">
      <alignment wrapText="1"/>
    </xf>
    <xf numFmtId="166" fontId="3" fillId="0" borderId="0" xfId="3" applyNumberFormat="1" applyFont="1" applyBorder="1" applyAlignment="1">
      <alignment wrapText="1"/>
    </xf>
    <xf numFmtId="0" fontId="3" fillId="0" borderId="10" xfId="3" applyFill="1" applyBorder="1"/>
    <xf numFmtId="0" fontId="3" fillId="0" borderId="10" xfId="3" applyBorder="1"/>
    <xf numFmtId="0" fontId="3" fillId="0" borderId="7" xfId="3" applyFont="1" applyBorder="1" applyAlignment="1">
      <alignment wrapText="1"/>
    </xf>
    <xf numFmtId="166" fontId="3" fillId="0" borderId="1" xfId="3" applyNumberFormat="1" applyFont="1" applyBorder="1" applyAlignment="1">
      <alignment wrapText="1"/>
    </xf>
    <xf numFmtId="0" fontId="3" fillId="0" borderId="8" xfId="3" applyFill="1" applyBorder="1"/>
    <xf numFmtId="0" fontId="3" fillId="0" borderId="6" xfId="3" applyFill="1" applyBorder="1"/>
    <xf numFmtId="0" fontId="8" fillId="3" borderId="0" xfId="0" applyFont="1" applyFill="1"/>
    <xf numFmtId="0" fontId="8" fillId="0" borderId="0" xfId="0" applyFont="1"/>
    <xf numFmtId="0" fontId="8" fillId="2" borderId="0" xfId="0" applyFont="1" applyFill="1"/>
    <xf numFmtId="10" fontId="0" fillId="0" borderId="0" xfId="0" applyNumberFormat="1"/>
    <xf numFmtId="0" fontId="4" fillId="0" borderId="9" xfId="8" applyNumberFormat="1" applyFont="1" applyBorder="1" applyAlignment="1">
      <alignment horizontal="center"/>
    </xf>
    <xf numFmtId="0" fontId="0" fillId="0" borderId="0" xfId="8" applyNumberFormat="1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9" fontId="0" fillId="0" borderId="0" xfId="2" applyFont="1"/>
    <xf numFmtId="43" fontId="0" fillId="2" borderId="0" xfId="0" applyNumberFormat="1" applyFill="1" applyBorder="1"/>
    <xf numFmtId="44" fontId="0" fillId="0" borderId="1" xfId="1" applyFont="1" applyBorder="1"/>
    <xf numFmtId="44" fontId="0" fillId="2" borderId="1" xfId="1" applyFont="1" applyFill="1" applyBorder="1"/>
    <xf numFmtId="49" fontId="0" fillId="0" borderId="1" xfId="1" applyNumberFormat="1" applyFont="1" applyBorder="1" applyAlignment="1">
      <alignment horizontal="right"/>
    </xf>
    <xf numFmtId="49" fontId="0" fillId="2" borderId="1" xfId="1" applyNumberFormat="1" applyFont="1" applyFill="1" applyBorder="1" applyAlignment="1">
      <alignment horizontal="right"/>
    </xf>
    <xf numFmtId="49" fontId="0" fillId="2" borderId="8" xfId="1" applyNumberFormat="1" applyFont="1" applyFill="1" applyBorder="1" applyAlignment="1">
      <alignment horizontal="right"/>
    </xf>
    <xf numFmtId="1" fontId="0" fillId="0" borderId="0" xfId="0" applyNumberFormat="1"/>
    <xf numFmtId="9" fontId="0" fillId="0" borderId="0" xfId="1" applyNumberFormat="1" applyFont="1"/>
    <xf numFmtId="8" fontId="0" fillId="2" borderId="1" xfId="1" applyNumberFormat="1" applyFont="1" applyFill="1" applyBorder="1"/>
    <xf numFmtId="8" fontId="0" fillId="0" borderId="1" xfId="1" applyNumberFormat="1" applyFont="1" applyBorder="1"/>
    <xf numFmtId="0" fontId="7" fillId="0" borderId="0" xfId="6" applyFont="1" applyBorder="1"/>
    <xf numFmtId="0" fontId="0" fillId="0" borderId="10" xfId="0" applyBorder="1"/>
    <xf numFmtId="0" fontId="4" fillId="0" borderId="0" xfId="6" applyBorder="1" applyAlignment="1">
      <alignment horizontal="left" indent="1"/>
    </xf>
    <xf numFmtId="1" fontId="4" fillId="0" borderId="0" xfId="6" applyNumberFormat="1" applyBorder="1"/>
    <xf numFmtId="1" fontId="0" fillId="0" borderId="10" xfId="0" applyNumberFormat="1" applyBorder="1"/>
    <xf numFmtId="0" fontId="7" fillId="0" borderId="4" xfId="6" applyFont="1" applyBorder="1"/>
    <xf numFmtId="0" fontId="0" fillId="0" borderId="6" xfId="0" applyBorder="1"/>
    <xf numFmtId="44" fontId="0" fillId="0" borderId="5" xfId="1" applyFont="1" applyBorder="1"/>
    <xf numFmtId="44" fontId="0" fillId="2" borderId="5" xfId="1" applyFont="1" applyFill="1" applyBorder="1"/>
    <xf numFmtId="44" fontId="0" fillId="2" borderId="6" xfId="1" applyFont="1" applyFill="1" applyBorder="1"/>
    <xf numFmtId="1" fontId="7" fillId="0" borderId="9" xfId="6" applyNumberFormat="1" applyFont="1" applyBorder="1"/>
    <xf numFmtId="1" fontId="0" fillId="0" borderId="0" xfId="1" applyNumberFormat="1" applyFont="1" applyBorder="1"/>
    <xf numFmtId="1" fontId="0" fillId="2" borderId="0" xfId="1" applyNumberFormat="1" applyFont="1" applyFill="1" applyBorder="1"/>
    <xf numFmtId="1" fontId="0" fillId="2" borderId="10" xfId="1" applyNumberFormat="1" applyFont="1" applyFill="1" applyBorder="1"/>
    <xf numFmtId="8" fontId="0" fillId="2" borderId="8" xfId="1" applyNumberFormat="1" applyFont="1" applyFill="1" applyBorder="1"/>
    <xf numFmtId="44" fontId="0" fillId="0" borderId="10" xfId="1" applyFont="1" applyBorder="1"/>
    <xf numFmtId="0" fontId="0" fillId="0" borderId="8" xfId="0" applyBorder="1"/>
    <xf numFmtId="10" fontId="0" fillId="0" borderId="1" xfId="1" applyNumberFormat="1" applyFont="1" applyBorder="1"/>
    <xf numFmtId="44" fontId="0" fillId="0" borderId="8" xfId="1" applyFont="1" applyBorder="1"/>
    <xf numFmtId="44" fontId="0" fillId="0" borderId="4" xfId="1" applyFont="1" applyBorder="1"/>
    <xf numFmtId="44" fontId="8" fillId="0" borderId="0" xfId="1" applyFont="1" applyBorder="1"/>
    <xf numFmtId="169" fontId="0" fillId="0" borderId="4" xfId="1" applyNumberFormat="1" applyFont="1" applyBorder="1"/>
    <xf numFmtId="169" fontId="0" fillId="2" borderId="5" xfId="1" applyNumberFormat="1" applyFont="1" applyFill="1" applyBorder="1"/>
    <xf numFmtId="169" fontId="0" fillId="0" borderId="5" xfId="1" applyNumberFormat="1" applyFont="1" applyBorder="1"/>
    <xf numFmtId="169" fontId="0" fillId="2" borderId="6" xfId="1" applyNumberFormat="1" applyFont="1" applyFill="1" applyBorder="1"/>
    <xf numFmtId="0" fontId="10" fillId="0" borderId="0" xfId="9" applyFont="1" applyAlignment="1" applyProtection="1"/>
    <xf numFmtId="0" fontId="7" fillId="0" borderId="9" xfId="6" applyFont="1" applyBorder="1" applyAlignment="1">
      <alignment horizontal="left" wrapText="1"/>
    </xf>
    <xf numFmtId="0" fontId="7" fillId="0" borderId="0" xfId="6" applyFont="1" applyBorder="1" applyAlignment="1">
      <alignment horizontal="left" wrapText="1"/>
    </xf>
    <xf numFmtId="9" fontId="0" fillId="2" borderId="0" xfId="0" applyNumberFormat="1" applyFill="1" applyBorder="1" applyAlignment="1">
      <alignment horizontal="center"/>
    </xf>
    <xf numFmtId="9" fontId="0" fillId="2" borderId="10" xfId="0" applyNumberForma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10" xfId="0" applyNumberFormat="1" applyFill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0" fontId="0" fillId="2" borderId="10" xfId="0" applyNumberFormat="1" applyFill="1" applyBorder="1" applyAlignment="1">
      <alignment horizontal="center"/>
    </xf>
    <xf numFmtId="2" fontId="0" fillId="2" borderId="0" xfId="8" applyNumberFormat="1" applyFont="1" applyFill="1" applyBorder="1" applyAlignment="1">
      <alignment horizontal="center"/>
    </xf>
    <xf numFmtId="2" fontId="0" fillId="0" borderId="0" xfId="8" applyNumberFormat="1" applyFont="1" applyBorder="1" applyAlignment="1">
      <alignment horizontal="center"/>
    </xf>
    <xf numFmtId="2" fontId="0" fillId="2" borderId="10" xfId="8" applyNumberFormat="1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9" fontId="0" fillId="2" borderId="10" xfId="2" applyFont="1" applyFill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0" fontId="0" fillId="2" borderId="0" xfId="2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0" fillId="2" borderId="0" xfId="2" applyNumberFormat="1" applyFont="1" applyFill="1" applyBorder="1" applyAlignment="1">
      <alignment horizontal="center"/>
    </xf>
    <xf numFmtId="10" fontId="0" fillId="2" borderId="1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</cellXfs>
  <cellStyles count="10">
    <cellStyle name="Comma" xfId="8" builtinId="3"/>
    <cellStyle name="Comma 2" xfId="4"/>
    <cellStyle name="Currency" xfId="1" builtinId="4"/>
    <cellStyle name="Currency 2" xfId="5"/>
    <cellStyle name="Excel Built-in Normal" xfId="6"/>
    <cellStyle name="Hyperlink" xfId="9" builtinId="8"/>
    <cellStyle name="Normal" xfId="0" builtinId="0"/>
    <cellStyle name="Normal 2" xfId="3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izbuysell.com/Business-Opportunity/Car-Wash-Self-Serv-East-Dallas-w-land-Minimal-Time/609360/?d=%2fwEFWiUyZnRleGFzJTJmYXV0by1yZXBhaXItcGFydHMtYnVzaW5lc3Nlcy1mb3Itc2FsZSUyZiUzZnElM2QlMmZ3RUZFR3M5WTJGeUlIZGhjMmdtY25SelBURSUzZA%3d%3d" TargetMode="External"/><Relationship Id="rId1" Type="http://schemas.openxmlformats.org/officeDocument/2006/relationships/hyperlink" Target="http://people.stern.nyu.edu/adamodar/New_Home_Page/datafile/Beta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opLeftCell="A34" workbookViewId="0">
      <selection activeCell="D35" sqref="D35"/>
    </sheetView>
  </sheetViews>
  <sheetFormatPr defaultColWidth="8.85546875" defaultRowHeight="15" x14ac:dyDescent="0.25"/>
  <cols>
    <col min="2" max="2" width="15.85546875" customWidth="1"/>
    <col min="3" max="3" width="14.42578125" bestFit="1" customWidth="1"/>
    <col min="4" max="4" width="12.42578125" customWidth="1"/>
    <col min="5" max="5" width="14.42578125" bestFit="1" customWidth="1"/>
    <col min="6" max="8" width="14.85546875" bestFit="1" customWidth="1"/>
    <col min="9" max="12" width="14.7109375" bestFit="1" customWidth="1"/>
    <col min="13" max="14" width="14.85546875" bestFit="1" customWidth="1"/>
    <col min="15" max="15" width="14.7109375" bestFit="1" customWidth="1"/>
    <col min="16" max="17" width="14.85546875" bestFit="1" customWidth="1"/>
    <col min="18" max="20" width="14.7109375" bestFit="1" customWidth="1"/>
    <col min="21" max="21" width="14.85546875" bestFit="1" customWidth="1"/>
  </cols>
  <sheetData>
    <row r="1" spans="1:21" s="11" customFormat="1" x14ac:dyDescent="0.25">
      <c r="A1" s="11" t="s">
        <v>102</v>
      </c>
      <c r="C1" s="11" t="s">
        <v>103</v>
      </c>
      <c r="E1" s="67">
        <v>2012</v>
      </c>
      <c r="F1" s="11">
        <v>2013</v>
      </c>
      <c r="G1" s="67">
        <v>2014</v>
      </c>
      <c r="H1" s="11">
        <v>2015</v>
      </c>
      <c r="I1" s="67">
        <v>2016</v>
      </c>
      <c r="J1" s="11">
        <v>2017</v>
      </c>
      <c r="K1" s="67">
        <v>2018</v>
      </c>
      <c r="L1" s="11">
        <v>2019</v>
      </c>
      <c r="M1" s="67">
        <v>2020</v>
      </c>
      <c r="N1" s="11">
        <v>2021</v>
      </c>
      <c r="O1" s="67">
        <v>2022</v>
      </c>
      <c r="P1" s="11">
        <v>2023</v>
      </c>
      <c r="Q1" s="67">
        <v>2024</v>
      </c>
      <c r="R1" s="11">
        <v>2025</v>
      </c>
      <c r="S1" s="67">
        <v>2026</v>
      </c>
      <c r="T1" s="11">
        <v>2027</v>
      </c>
      <c r="U1" s="67">
        <v>2028</v>
      </c>
    </row>
    <row r="2" spans="1:21" s="12" customFormat="1" x14ac:dyDescent="0.25">
      <c r="A2" s="15" t="s">
        <v>119</v>
      </c>
      <c r="C2" s="107">
        <v>360</v>
      </c>
      <c r="D2" s="12" t="s">
        <v>130</v>
      </c>
      <c r="E2" s="62"/>
      <c r="G2" s="62"/>
      <c r="I2" s="62"/>
      <c r="K2" s="62"/>
      <c r="M2" s="62"/>
      <c r="O2" s="62"/>
      <c r="Q2" s="62"/>
      <c r="S2" s="62"/>
      <c r="U2" s="62"/>
    </row>
    <row r="3" spans="1:21" s="12" customFormat="1" x14ac:dyDescent="0.25">
      <c r="A3" s="15" t="s">
        <v>268</v>
      </c>
      <c r="C3" s="107">
        <v>5</v>
      </c>
      <c r="E3" s="62"/>
      <c r="G3" s="62"/>
      <c r="I3" s="62"/>
      <c r="K3" s="62"/>
      <c r="M3" s="62"/>
      <c r="O3" s="62"/>
      <c r="Q3" s="62"/>
      <c r="S3" s="62"/>
      <c r="U3" s="62"/>
    </row>
    <row r="4" spans="1:21" x14ac:dyDescent="0.25">
      <c r="A4" s="3" t="s">
        <v>4</v>
      </c>
      <c r="C4" s="108"/>
      <c r="E4" s="95"/>
      <c r="G4" s="95"/>
      <c r="I4" s="95"/>
      <c r="K4" s="95"/>
      <c r="M4" s="95"/>
      <c r="O4" s="95"/>
      <c r="Q4" s="95"/>
      <c r="S4" s="95"/>
      <c r="U4" s="95"/>
    </row>
    <row r="5" spans="1:21" x14ac:dyDescent="0.25">
      <c r="A5" s="1" t="s">
        <v>122</v>
      </c>
      <c r="C5" s="108"/>
      <c r="E5" s="96">
        <f t="shared" ref="E5:U5" si="0">E10*E9*E6</f>
        <v>135000</v>
      </c>
      <c r="F5" s="14">
        <f t="shared" si="0"/>
        <v>143916.75</v>
      </c>
      <c r="G5" s="96">
        <f t="shared" si="0"/>
        <v>153422.45133749998</v>
      </c>
      <c r="H5" s="14">
        <f t="shared" si="0"/>
        <v>163556.00424834187</v>
      </c>
      <c r="I5" s="96">
        <f t="shared" si="0"/>
        <v>174358.87832894485</v>
      </c>
      <c r="J5" s="14">
        <f t="shared" si="0"/>
        <v>185875.28224257161</v>
      </c>
      <c r="K5" s="96">
        <f t="shared" si="0"/>
        <v>198152.34463469347</v>
      </c>
      <c r="L5" s="14">
        <f t="shared" si="0"/>
        <v>211240.30699781497</v>
      </c>
      <c r="M5" s="96">
        <f t="shared" si="0"/>
        <v>225192.72927502068</v>
      </c>
      <c r="N5" s="14">
        <f t="shared" si="0"/>
        <v>240066.70904363572</v>
      </c>
      <c r="O5" s="96">
        <f t="shared" si="0"/>
        <v>255923.11517596786</v>
      </c>
      <c r="P5" s="14">
        <f t="shared" si="0"/>
        <v>272826.83693334053</v>
      </c>
      <c r="Q5" s="96">
        <f t="shared" si="0"/>
        <v>290847.04951278766</v>
      </c>
      <c r="R5" s="14">
        <f t="shared" si="0"/>
        <v>310057.49713310733</v>
      </c>
      <c r="S5" s="96">
        <f t="shared" si="0"/>
        <v>330536.79481874901</v>
      </c>
      <c r="T5" s="14">
        <f t="shared" si="0"/>
        <v>352368.75011652743</v>
      </c>
      <c r="U5" s="96">
        <f t="shared" si="0"/>
        <v>400685.55313250568</v>
      </c>
    </row>
    <row r="6" spans="1:21" x14ac:dyDescent="0.25">
      <c r="A6" s="1" t="s">
        <v>104</v>
      </c>
      <c r="B6" t="s">
        <v>120</v>
      </c>
      <c r="C6" s="108"/>
      <c r="E6" s="95">
        <f>E7*$C$2</f>
        <v>36000</v>
      </c>
      <c r="F6" s="105">
        <f t="shared" ref="F6:U6" si="1">F7*$C$2</f>
        <v>37260</v>
      </c>
      <c r="G6" s="106">
        <f t="shared" si="1"/>
        <v>38564.1</v>
      </c>
      <c r="H6" s="105">
        <f t="shared" si="1"/>
        <v>39913.843499999995</v>
      </c>
      <c r="I6" s="106">
        <f t="shared" si="1"/>
        <v>41310.828022499991</v>
      </c>
      <c r="J6" s="105">
        <f t="shared" si="1"/>
        <v>42756.707003287491</v>
      </c>
      <c r="K6" s="106">
        <f t="shared" si="1"/>
        <v>44253.191748402547</v>
      </c>
      <c r="L6" s="105">
        <f t="shared" si="1"/>
        <v>45802.053459596631</v>
      </c>
      <c r="M6" s="106">
        <f t="shared" si="1"/>
        <v>47405.125330682517</v>
      </c>
      <c r="N6" s="105">
        <f t="shared" si="1"/>
        <v>49064.304717256389</v>
      </c>
      <c r="O6" s="106">
        <f t="shared" si="1"/>
        <v>50781.555382360362</v>
      </c>
      <c r="P6" s="105">
        <f t="shared" si="1"/>
        <v>52558.909820742978</v>
      </c>
      <c r="Q6" s="106">
        <f t="shared" si="1"/>
        <v>54398.471664468976</v>
      </c>
      <c r="R6" s="105">
        <f t="shared" si="1"/>
        <v>56302.418172725389</v>
      </c>
      <c r="S6" s="106">
        <f t="shared" si="1"/>
        <v>58273.002808770769</v>
      </c>
      <c r="T6" s="105">
        <f t="shared" si="1"/>
        <v>60312.557907077746</v>
      </c>
      <c r="U6" s="106">
        <f t="shared" si="1"/>
        <v>62423.497433825469</v>
      </c>
    </row>
    <row r="7" spans="1:21" x14ac:dyDescent="0.25">
      <c r="A7" s="1"/>
      <c r="B7" t="s">
        <v>121</v>
      </c>
      <c r="C7" s="108"/>
      <c r="E7" s="95">
        <f>E8*$C$3</f>
        <v>100</v>
      </c>
      <c r="F7" s="105">
        <f>F8*$C$3</f>
        <v>103.5</v>
      </c>
      <c r="G7" s="106">
        <f>G8*$C$3</f>
        <v>107.12249999999999</v>
      </c>
      <c r="H7" s="105">
        <f t="shared" ref="H7:U7" si="2">H8*$C$3</f>
        <v>110.87178749999998</v>
      </c>
      <c r="I7" s="106">
        <f t="shared" si="2"/>
        <v>114.75230006249998</v>
      </c>
      <c r="J7" s="105">
        <f t="shared" si="2"/>
        <v>118.76863056468747</v>
      </c>
      <c r="K7" s="106">
        <f t="shared" si="2"/>
        <v>122.92553263445151</v>
      </c>
      <c r="L7" s="105">
        <f t="shared" si="2"/>
        <v>127.22792627665731</v>
      </c>
      <c r="M7" s="106">
        <f t="shared" si="2"/>
        <v>131.68090369634032</v>
      </c>
      <c r="N7" s="105">
        <f t="shared" si="2"/>
        <v>136.2897353257122</v>
      </c>
      <c r="O7" s="106">
        <f t="shared" si="2"/>
        <v>141.05987606211212</v>
      </c>
      <c r="P7" s="105">
        <f t="shared" si="2"/>
        <v>145.99697172428606</v>
      </c>
      <c r="Q7" s="106">
        <f t="shared" si="2"/>
        <v>151.10686573463605</v>
      </c>
      <c r="R7" s="105">
        <f t="shared" si="2"/>
        <v>156.39560603534829</v>
      </c>
      <c r="S7" s="106">
        <f t="shared" si="2"/>
        <v>161.86945224658547</v>
      </c>
      <c r="T7" s="105">
        <f t="shared" si="2"/>
        <v>167.53488307521596</v>
      </c>
      <c r="U7" s="106">
        <f t="shared" si="2"/>
        <v>173.39860398284853</v>
      </c>
    </row>
    <row r="8" spans="1:21" x14ac:dyDescent="0.25">
      <c r="A8" s="1"/>
      <c r="B8" t="s">
        <v>304</v>
      </c>
      <c r="C8" s="108"/>
      <c r="E8" s="108">
        <v>20</v>
      </c>
      <c r="F8" s="105">
        <f>E8*(1+$C$11)</f>
        <v>20.7</v>
      </c>
      <c r="G8" s="106">
        <f>F8*(1+$C$11)</f>
        <v>21.424499999999998</v>
      </c>
      <c r="H8" s="105">
        <f t="shared" ref="H8" si="3">G8*(1+$C$11)</f>
        <v>22.174357499999996</v>
      </c>
      <c r="I8" s="106">
        <f t="shared" ref="I8:T8" si="4">H8*(1+$C$11)</f>
        <v>22.950460012499995</v>
      </c>
      <c r="J8" s="105">
        <f t="shared" si="4"/>
        <v>23.753726112937493</v>
      </c>
      <c r="K8" s="106">
        <f t="shared" si="4"/>
        <v>24.585106526890304</v>
      </c>
      <c r="L8" s="105">
        <f t="shared" si="4"/>
        <v>25.445585255331462</v>
      </c>
      <c r="M8" s="106">
        <f t="shared" si="4"/>
        <v>26.336180739268062</v>
      </c>
      <c r="N8" s="105">
        <f t="shared" si="4"/>
        <v>27.257947065142442</v>
      </c>
      <c r="O8" s="106">
        <f t="shared" si="4"/>
        <v>28.211975212422427</v>
      </c>
      <c r="P8" s="105">
        <f t="shared" si="4"/>
        <v>29.199394344857211</v>
      </c>
      <c r="Q8" s="106">
        <f t="shared" si="4"/>
        <v>30.22137314692721</v>
      </c>
      <c r="R8" s="105">
        <f t="shared" si="4"/>
        <v>31.279121207069661</v>
      </c>
      <c r="S8" s="106">
        <f t="shared" si="4"/>
        <v>32.373890449317095</v>
      </c>
      <c r="T8" s="105">
        <f t="shared" si="4"/>
        <v>33.506976615043193</v>
      </c>
      <c r="U8" s="106">
        <f t="shared" ref="U8" si="5">T8*(1+$C$11)</f>
        <v>34.679720796569704</v>
      </c>
    </row>
    <row r="9" spans="1:21" x14ac:dyDescent="0.25">
      <c r="A9" s="1" t="s">
        <v>105</v>
      </c>
      <c r="B9" t="s">
        <v>123</v>
      </c>
      <c r="C9" s="108"/>
      <c r="D9" t="s">
        <v>124</v>
      </c>
      <c r="E9" s="108">
        <v>15</v>
      </c>
      <c r="F9" s="108">
        <v>15</v>
      </c>
      <c r="G9" s="108">
        <v>15</v>
      </c>
      <c r="H9" s="108">
        <v>15</v>
      </c>
      <c r="I9" s="108">
        <v>15</v>
      </c>
      <c r="J9" s="108">
        <v>15</v>
      </c>
      <c r="K9" s="108">
        <v>15</v>
      </c>
      <c r="L9" s="108">
        <v>15</v>
      </c>
      <c r="M9" s="108">
        <v>15</v>
      </c>
      <c r="N9" s="108">
        <v>15</v>
      </c>
      <c r="O9" s="108">
        <v>15</v>
      </c>
      <c r="P9" s="108">
        <v>15</v>
      </c>
      <c r="Q9" s="108">
        <v>15</v>
      </c>
      <c r="R9" s="108">
        <v>15</v>
      </c>
      <c r="S9" s="108">
        <v>15</v>
      </c>
      <c r="T9" s="108">
        <v>15</v>
      </c>
      <c r="U9" s="108">
        <v>16</v>
      </c>
    </row>
    <row r="10" spans="1:21" x14ac:dyDescent="0.25">
      <c r="A10" s="1" t="s">
        <v>125</v>
      </c>
      <c r="B10" t="s">
        <v>126</v>
      </c>
      <c r="C10" s="108"/>
      <c r="E10" s="112">
        <v>0.25</v>
      </c>
      <c r="F10" s="13">
        <f>E10*(1+$C$12)</f>
        <v>0.25750000000000001</v>
      </c>
      <c r="G10" s="97">
        <f t="shared" ref="G10:U10" si="6">F10*(1+$C$12)</f>
        <v>0.26522499999999999</v>
      </c>
      <c r="H10" s="13">
        <f t="shared" si="6"/>
        <v>0.27318175</v>
      </c>
      <c r="I10" s="97">
        <f t="shared" si="6"/>
        <v>0.28137720250000003</v>
      </c>
      <c r="J10" s="13">
        <f t="shared" si="6"/>
        <v>0.28981851857500002</v>
      </c>
      <c r="K10" s="97">
        <f t="shared" si="6"/>
        <v>0.29851307413225003</v>
      </c>
      <c r="L10" s="13">
        <f t="shared" si="6"/>
        <v>0.30746846635621755</v>
      </c>
      <c r="M10" s="97">
        <f t="shared" si="6"/>
        <v>0.31669252034690409</v>
      </c>
      <c r="N10" s="13">
        <f t="shared" si="6"/>
        <v>0.32619329595731122</v>
      </c>
      <c r="O10" s="97">
        <f t="shared" si="6"/>
        <v>0.33597909483603056</v>
      </c>
      <c r="P10" s="13">
        <f t="shared" si="6"/>
        <v>0.34605846768111148</v>
      </c>
      <c r="Q10" s="97">
        <f t="shared" si="6"/>
        <v>0.35644022171154482</v>
      </c>
      <c r="R10" s="13">
        <f t="shared" si="6"/>
        <v>0.3671334283628912</v>
      </c>
      <c r="S10" s="97">
        <f t="shared" si="6"/>
        <v>0.37814743121377797</v>
      </c>
      <c r="T10" s="13">
        <f t="shared" si="6"/>
        <v>0.38949185415019133</v>
      </c>
      <c r="U10" s="97">
        <f t="shared" si="6"/>
        <v>0.4011766097746971</v>
      </c>
    </row>
    <row r="11" spans="1:21" x14ac:dyDescent="0.25">
      <c r="A11" s="1" t="s">
        <v>106</v>
      </c>
      <c r="B11" t="s">
        <v>303</v>
      </c>
      <c r="C11" s="109">
        <v>3.5000000000000003E-2</v>
      </c>
      <c r="E11" s="95"/>
      <c r="G11" s="95"/>
      <c r="I11" s="95"/>
      <c r="K11" s="95"/>
      <c r="M11" s="95"/>
      <c r="O11" s="95"/>
      <c r="Q11" s="95"/>
      <c r="S11" s="95"/>
      <c r="U11" s="95"/>
    </row>
    <row r="12" spans="1:21" x14ac:dyDescent="0.25">
      <c r="A12" s="1" t="s">
        <v>267</v>
      </c>
      <c r="C12" s="109">
        <v>0.03</v>
      </c>
      <c r="E12" s="95"/>
      <c r="G12" s="95"/>
      <c r="I12" s="95"/>
      <c r="K12" s="95"/>
      <c r="M12" s="95"/>
      <c r="O12" s="95"/>
      <c r="Q12" s="95"/>
      <c r="S12" s="95"/>
      <c r="U12" s="95"/>
    </row>
    <row r="13" spans="1:21" x14ac:dyDescent="0.25">
      <c r="A13" s="1" t="s">
        <v>107</v>
      </c>
      <c r="C13" s="110">
        <v>0.1</v>
      </c>
      <c r="D13" t="s">
        <v>128</v>
      </c>
      <c r="E13" s="96">
        <f>E5*$C$13</f>
        <v>13500</v>
      </c>
      <c r="F13" s="14">
        <f t="shared" ref="F13:U13" si="7">F5*$C$13</f>
        <v>14391.675000000001</v>
      </c>
      <c r="G13" s="96">
        <f t="shared" si="7"/>
        <v>15342.245133749999</v>
      </c>
      <c r="H13" s="14">
        <f t="shared" si="7"/>
        <v>16355.600424834187</v>
      </c>
      <c r="I13" s="96">
        <f t="shared" si="7"/>
        <v>17435.887832894485</v>
      </c>
      <c r="J13" s="14">
        <f t="shared" si="7"/>
        <v>18587.528224257163</v>
      </c>
      <c r="K13" s="96">
        <f t="shared" si="7"/>
        <v>19815.234463469347</v>
      </c>
      <c r="L13" s="14">
        <f t="shared" si="7"/>
        <v>21124.030699781499</v>
      </c>
      <c r="M13" s="96">
        <f t="shared" si="7"/>
        <v>22519.272927502068</v>
      </c>
      <c r="N13" s="14">
        <f t="shared" si="7"/>
        <v>24006.670904363575</v>
      </c>
      <c r="O13" s="96">
        <f t="shared" si="7"/>
        <v>25592.311517596787</v>
      </c>
      <c r="P13" s="14">
        <f t="shared" si="7"/>
        <v>27282.683693334053</v>
      </c>
      <c r="Q13" s="96">
        <f t="shared" si="7"/>
        <v>29084.704951278767</v>
      </c>
      <c r="R13" s="14">
        <f t="shared" si="7"/>
        <v>31005.749713310735</v>
      </c>
      <c r="S13" s="96">
        <f t="shared" si="7"/>
        <v>33053.679481874904</v>
      </c>
      <c r="T13" s="14">
        <f t="shared" si="7"/>
        <v>35236.875011652744</v>
      </c>
      <c r="U13" s="96">
        <f t="shared" si="7"/>
        <v>40068.555313250574</v>
      </c>
    </row>
    <row r="14" spans="1:21" x14ac:dyDescent="0.25">
      <c r="A14" s="3" t="s">
        <v>129</v>
      </c>
      <c r="C14" s="108"/>
      <c r="E14" s="95"/>
      <c r="G14" s="95"/>
      <c r="I14" s="95"/>
      <c r="K14" s="95"/>
      <c r="M14" s="95"/>
      <c r="O14" s="95"/>
      <c r="Q14" s="95"/>
      <c r="S14" s="95"/>
      <c r="U14" s="95"/>
    </row>
    <row r="15" spans="1:21" x14ac:dyDescent="0.25">
      <c r="A15" s="1" t="s">
        <v>109</v>
      </c>
      <c r="C15" s="109">
        <v>0.19500000000000001</v>
      </c>
      <c r="D15" t="s">
        <v>128</v>
      </c>
      <c r="E15" s="96">
        <f>E5*$C$15</f>
        <v>26325</v>
      </c>
      <c r="F15" s="14">
        <f t="shared" ref="F15:U15" si="8">F5*$C$15</f>
        <v>28063.766250000001</v>
      </c>
      <c r="G15" s="96">
        <f t="shared" si="8"/>
        <v>29917.378010812496</v>
      </c>
      <c r="H15" s="14">
        <f t="shared" si="8"/>
        <v>31893.420828426664</v>
      </c>
      <c r="I15" s="96">
        <f t="shared" si="8"/>
        <v>33999.981274144244</v>
      </c>
      <c r="J15" s="14">
        <f t="shared" si="8"/>
        <v>36245.680037301463</v>
      </c>
      <c r="K15" s="96">
        <f t="shared" si="8"/>
        <v>38639.707203765225</v>
      </c>
      <c r="L15" s="14">
        <f t="shared" si="8"/>
        <v>41191.859864573918</v>
      </c>
      <c r="M15" s="96">
        <f t="shared" si="8"/>
        <v>43912.582208629035</v>
      </c>
      <c r="N15" s="14">
        <f t="shared" si="8"/>
        <v>46813.008263508971</v>
      </c>
      <c r="O15" s="96">
        <f t="shared" si="8"/>
        <v>49905.007459313732</v>
      </c>
      <c r="P15" s="14">
        <f t="shared" si="8"/>
        <v>53201.233202001407</v>
      </c>
      <c r="Q15" s="96">
        <f t="shared" si="8"/>
        <v>56715.1746549936</v>
      </c>
      <c r="R15" s="14">
        <f t="shared" si="8"/>
        <v>60461.211940955931</v>
      </c>
      <c r="S15" s="96">
        <f t="shared" si="8"/>
        <v>64454.674989656058</v>
      </c>
      <c r="T15" s="14">
        <f t="shared" si="8"/>
        <v>68711.906272722845</v>
      </c>
      <c r="U15" s="96">
        <f t="shared" si="8"/>
        <v>78133.682860838613</v>
      </c>
    </row>
    <row r="16" spans="1:21" x14ac:dyDescent="0.25">
      <c r="A16" s="1" t="s">
        <v>108</v>
      </c>
      <c r="C16" s="108"/>
      <c r="E16" s="108">
        <v>90</v>
      </c>
      <c r="F16" s="108">
        <v>90</v>
      </c>
      <c r="G16" s="108">
        <v>90</v>
      </c>
      <c r="H16" s="108">
        <v>90</v>
      </c>
      <c r="I16" s="108">
        <v>90</v>
      </c>
      <c r="J16" s="108">
        <v>90</v>
      </c>
      <c r="K16" s="108">
        <v>90</v>
      </c>
      <c r="L16" s="108">
        <v>90</v>
      </c>
      <c r="M16" s="108">
        <v>90</v>
      </c>
      <c r="N16" s="108">
        <v>90</v>
      </c>
      <c r="O16" s="108">
        <v>90</v>
      </c>
      <c r="P16" s="108">
        <v>90</v>
      </c>
      <c r="Q16" s="108">
        <v>90</v>
      </c>
      <c r="R16" s="108">
        <v>90</v>
      </c>
      <c r="S16" s="108">
        <v>90</v>
      </c>
      <c r="T16" s="108">
        <v>90</v>
      </c>
      <c r="U16" s="108">
        <v>90</v>
      </c>
    </row>
    <row r="17" spans="1:21" x14ac:dyDescent="0.25">
      <c r="A17" s="3" t="s">
        <v>110</v>
      </c>
      <c r="C17" s="108"/>
      <c r="E17" s="95"/>
      <c r="G17" s="95"/>
      <c r="I17" s="95"/>
      <c r="K17" s="95"/>
      <c r="M17" s="95"/>
      <c r="O17" s="95"/>
      <c r="Q17" s="95"/>
      <c r="S17" s="95"/>
      <c r="U17" s="95"/>
    </row>
    <row r="18" spans="1:21" x14ac:dyDescent="0.25">
      <c r="A18" s="1" t="s">
        <v>107</v>
      </c>
      <c r="C18" s="109">
        <v>0.25</v>
      </c>
      <c r="D18" t="s">
        <v>128</v>
      </c>
      <c r="E18" s="96">
        <f>$C$18*E5</f>
        <v>33750</v>
      </c>
      <c r="F18" s="14">
        <f t="shared" ref="F18:U18" si="9">$C$18*F5</f>
        <v>35979.1875</v>
      </c>
      <c r="G18" s="96">
        <f t="shared" si="9"/>
        <v>38355.612834374995</v>
      </c>
      <c r="H18" s="14">
        <f t="shared" si="9"/>
        <v>40889.001062085466</v>
      </c>
      <c r="I18" s="96">
        <f t="shared" si="9"/>
        <v>43589.719582236212</v>
      </c>
      <c r="J18" s="14">
        <f t="shared" si="9"/>
        <v>46468.820560642904</v>
      </c>
      <c r="K18" s="96">
        <f t="shared" si="9"/>
        <v>49538.086158673366</v>
      </c>
      <c r="L18" s="14">
        <f t="shared" si="9"/>
        <v>52810.076749453743</v>
      </c>
      <c r="M18" s="96">
        <f t="shared" si="9"/>
        <v>56298.182318755171</v>
      </c>
      <c r="N18" s="14">
        <f t="shared" si="9"/>
        <v>60016.677260908931</v>
      </c>
      <c r="O18" s="96">
        <f t="shared" si="9"/>
        <v>63980.778793991965</v>
      </c>
      <c r="P18" s="14">
        <f t="shared" si="9"/>
        <v>68206.709233335132</v>
      </c>
      <c r="Q18" s="96">
        <f t="shared" si="9"/>
        <v>72711.762378196916</v>
      </c>
      <c r="R18" s="14">
        <f t="shared" si="9"/>
        <v>77514.374283276833</v>
      </c>
      <c r="S18" s="96">
        <f t="shared" si="9"/>
        <v>82634.198704687253</v>
      </c>
      <c r="T18" s="14">
        <f t="shared" si="9"/>
        <v>88092.187529131857</v>
      </c>
      <c r="U18" s="96">
        <f t="shared" si="9"/>
        <v>100171.38828312642</v>
      </c>
    </row>
    <row r="19" spans="1:21" x14ac:dyDescent="0.25">
      <c r="A19" s="3" t="s">
        <v>111</v>
      </c>
      <c r="C19" s="108"/>
      <c r="E19" s="95"/>
      <c r="G19" s="95"/>
      <c r="I19" s="95"/>
      <c r="K19" s="95"/>
      <c r="M19" s="95"/>
      <c r="O19" s="95"/>
      <c r="Q19" s="95"/>
      <c r="S19" s="95"/>
      <c r="U19" s="95"/>
    </row>
    <row r="20" spans="1:21" x14ac:dyDescent="0.25">
      <c r="A20" s="1" t="s">
        <v>4</v>
      </c>
      <c r="C20" s="108"/>
      <c r="E20" s="95"/>
      <c r="G20" s="95"/>
      <c r="I20" s="95"/>
      <c r="K20" s="95"/>
      <c r="M20" s="95"/>
      <c r="O20" s="95"/>
      <c r="Q20" s="95"/>
      <c r="S20" s="95"/>
      <c r="U20" s="95"/>
    </row>
    <row r="21" spans="1:21" x14ac:dyDescent="0.25">
      <c r="A21" s="2" t="s">
        <v>107</v>
      </c>
      <c r="C21" s="110">
        <v>0.19</v>
      </c>
      <c r="D21" t="s">
        <v>128</v>
      </c>
      <c r="E21" s="96">
        <f>E5*$C$21</f>
        <v>25650</v>
      </c>
      <c r="F21" s="14">
        <f t="shared" ref="F21:U21" si="10">F5*$C$21</f>
        <v>27344.182499999999</v>
      </c>
      <c r="G21" s="96">
        <f t="shared" si="10"/>
        <v>29150.265754124997</v>
      </c>
      <c r="H21" s="14">
        <f t="shared" si="10"/>
        <v>31075.640807184955</v>
      </c>
      <c r="I21" s="96">
        <f t="shared" si="10"/>
        <v>33128.186882499518</v>
      </c>
      <c r="J21" s="14">
        <f t="shared" si="10"/>
        <v>35316.303626088607</v>
      </c>
      <c r="K21" s="96">
        <f t="shared" si="10"/>
        <v>37648.945480591756</v>
      </c>
      <c r="L21" s="14">
        <f t="shared" si="10"/>
        <v>40135.658329584847</v>
      </c>
      <c r="M21" s="96">
        <f t="shared" si="10"/>
        <v>42786.618562253927</v>
      </c>
      <c r="N21" s="14">
        <f t="shared" si="10"/>
        <v>45612.674718290786</v>
      </c>
      <c r="O21" s="96">
        <f t="shared" si="10"/>
        <v>48625.391883433891</v>
      </c>
      <c r="P21" s="14">
        <f t="shared" si="10"/>
        <v>51837.099017334702</v>
      </c>
      <c r="Q21" s="96">
        <f t="shared" si="10"/>
        <v>55260.939407429658</v>
      </c>
      <c r="R21" s="14">
        <f t="shared" si="10"/>
        <v>58910.924455290391</v>
      </c>
      <c r="S21" s="96">
        <f t="shared" si="10"/>
        <v>62801.991015562315</v>
      </c>
      <c r="T21" s="14">
        <f t="shared" si="10"/>
        <v>66950.062522140215</v>
      </c>
      <c r="U21" s="96">
        <f t="shared" si="10"/>
        <v>76130.255095176079</v>
      </c>
    </row>
    <row r="22" spans="1:21" x14ac:dyDescent="0.25">
      <c r="A22" s="2" t="s">
        <v>112</v>
      </c>
      <c r="C22" s="108"/>
      <c r="E22" s="108">
        <v>30</v>
      </c>
      <c r="F22" s="108">
        <v>30</v>
      </c>
      <c r="G22" s="108">
        <v>30</v>
      </c>
      <c r="H22" s="108">
        <v>30</v>
      </c>
      <c r="I22" s="108">
        <v>30</v>
      </c>
      <c r="J22" s="108">
        <v>30</v>
      </c>
      <c r="K22" s="108">
        <v>30</v>
      </c>
      <c r="L22" s="108">
        <v>30</v>
      </c>
      <c r="M22" s="108">
        <v>30</v>
      </c>
      <c r="N22" s="108">
        <v>30</v>
      </c>
      <c r="O22" s="108">
        <v>30</v>
      </c>
      <c r="P22" s="108">
        <v>30</v>
      </c>
      <c r="Q22" s="108">
        <v>30</v>
      </c>
      <c r="R22" s="108">
        <v>30</v>
      </c>
      <c r="S22" s="108">
        <v>30</v>
      </c>
      <c r="T22" s="108">
        <v>30</v>
      </c>
      <c r="U22" s="108">
        <v>30</v>
      </c>
    </row>
    <row r="23" spans="1:21" x14ac:dyDescent="0.25">
      <c r="A23" s="3" t="s">
        <v>127</v>
      </c>
      <c r="C23" s="108"/>
      <c r="E23" s="95"/>
      <c r="G23" s="95"/>
      <c r="I23" s="95"/>
      <c r="K23" s="95"/>
      <c r="M23" s="95"/>
      <c r="O23" s="95"/>
      <c r="Q23" s="95"/>
      <c r="S23" s="95"/>
      <c r="U23" s="95"/>
    </row>
    <row r="24" spans="1:21" x14ac:dyDescent="0.25">
      <c r="A24" s="1" t="s">
        <v>4</v>
      </c>
      <c r="C24" s="108"/>
      <c r="E24" s="95"/>
      <c r="G24" s="95"/>
      <c r="I24" s="95"/>
      <c r="K24" s="95"/>
      <c r="M24" s="95"/>
      <c r="O24" s="95"/>
      <c r="Q24" s="95"/>
      <c r="S24" s="95"/>
      <c r="U24" s="95"/>
    </row>
    <row r="25" spans="1:21" x14ac:dyDescent="0.25">
      <c r="A25" s="2" t="s">
        <v>107</v>
      </c>
      <c r="C25" s="109">
        <v>5.5E-2</v>
      </c>
      <c r="D25" t="s">
        <v>128</v>
      </c>
      <c r="E25" s="96">
        <f>$C$25*E5</f>
        <v>7425</v>
      </c>
      <c r="F25" s="14">
        <f t="shared" ref="F25:U25" si="11">$C$25*F5</f>
        <v>7915.4212500000003</v>
      </c>
      <c r="G25" s="96">
        <f t="shared" si="11"/>
        <v>8438.2348235624995</v>
      </c>
      <c r="H25" s="14">
        <f t="shared" si="11"/>
        <v>8995.5802336588022</v>
      </c>
      <c r="I25" s="96">
        <f t="shared" si="11"/>
        <v>9589.7383080919662</v>
      </c>
      <c r="J25" s="14">
        <f t="shared" si="11"/>
        <v>10223.140523341439</v>
      </c>
      <c r="K25" s="96">
        <f t="shared" si="11"/>
        <v>10898.378954908141</v>
      </c>
      <c r="L25" s="14">
        <f t="shared" si="11"/>
        <v>11618.216884879823</v>
      </c>
      <c r="M25" s="96">
        <f t="shared" si="11"/>
        <v>12385.600110126137</v>
      </c>
      <c r="N25" s="14">
        <f t="shared" si="11"/>
        <v>13203.668997399966</v>
      </c>
      <c r="O25" s="96">
        <f t="shared" si="11"/>
        <v>14075.771334678233</v>
      </c>
      <c r="P25" s="14">
        <f t="shared" si="11"/>
        <v>15005.476031333728</v>
      </c>
      <c r="Q25" s="96">
        <f t="shared" si="11"/>
        <v>15996.587723203322</v>
      </c>
      <c r="R25" s="14">
        <f t="shared" si="11"/>
        <v>17053.162342320902</v>
      </c>
      <c r="S25" s="96">
        <f t="shared" si="11"/>
        <v>18179.523715031195</v>
      </c>
      <c r="T25" s="14">
        <f t="shared" si="11"/>
        <v>19380.281256409009</v>
      </c>
      <c r="U25" s="96">
        <f t="shared" si="11"/>
        <v>22037.705422287814</v>
      </c>
    </row>
    <row r="26" spans="1:21" x14ac:dyDescent="0.25">
      <c r="A26" s="2" t="s">
        <v>112</v>
      </c>
      <c r="C26" s="108"/>
      <c r="D26" s="137"/>
      <c r="E26" s="108">
        <v>30</v>
      </c>
      <c r="F26" s="108">
        <v>30</v>
      </c>
      <c r="G26" s="108">
        <v>30</v>
      </c>
      <c r="H26" s="108">
        <v>30</v>
      </c>
      <c r="I26" s="108">
        <v>30</v>
      </c>
      <c r="J26" s="108">
        <v>30</v>
      </c>
      <c r="K26" s="108">
        <v>30</v>
      </c>
      <c r="L26" s="108">
        <v>30</v>
      </c>
      <c r="M26" s="108">
        <v>30</v>
      </c>
      <c r="N26" s="108">
        <v>30</v>
      </c>
      <c r="O26" s="108">
        <v>30</v>
      </c>
      <c r="P26" s="108">
        <v>30</v>
      </c>
      <c r="Q26" s="108">
        <v>30</v>
      </c>
      <c r="R26" s="108">
        <v>30</v>
      </c>
      <c r="S26" s="108">
        <v>30</v>
      </c>
      <c r="T26" s="108">
        <v>30</v>
      </c>
      <c r="U26" s="108">
        <v>30</v>
      </c>
    </row>
    <row r="27" spans="1:21" x14ac:dyDescent="0.25">
      <c r="A27" s="3" t="s">
        <v>113</v>
      </c>
      <c r="C27" s="108"/>
      <c r="E27" s="95"/>
      <c r="G27" s="95"/>
      <c r="I27" s="95"/>
      <c r="K27" s="95"/>
      <c r="M27" s="95"/>
      <c r="O27" s="95"/>
      <c r="Q27" s="95"/>
      <c r="S27" s="95"/>
      <c r="U27" s="95"/>
    </row>
    <row r="28" spans="1:21" x14ac:dyDescent="0.25">
      <c r="A28" s="1" t="s">
        <v>107</v>
      </c>
      <c r="C28" s="108"/>
      <c r="E28" s="112">
        <v>239000</v>
      </c>
      <c r="F28" s="13">
        <f>E28</f>
        <v>239000</v>
      </c>
      <c r="G28" s="97">
        <f>F28</f>
        <v>239000</v>
      </c>
      <c r="H28" s="13">
        <f t="shared" ref="H28:U28" si="12">G28</f>
        <v>239000</v>
      </c>
      <c r="I28" s="97">
        <f t="shared" si="12"/>
        <v>239000</v>
      </c>
      <c r="J28" s="13">
        <f t="shared" si="12"/>
        <v>239000</v>
      </c>
      <c r="K28" s="97">
        <f t="shared" si="12"/>
        <v>239000</v>
      </c>
      <c r="L28" s="13">
        <f t="shared" si="12"/>
        <v>239000</v>
      </c>
      <c r="M28" s="97">
        <f t="shared" si="12"/>
        <v>239000</v>
      </c>
      <c r="N28" s="13">
        <f t="shared" si="12"/>
        <v>239000</v>
      </c>
      <c r="O28" s="97">
        <f t="shared" si="12"/>
        <v>239000</v>
      </c>
      <c r="P28" s="13">
        <f t="shared" si="12"/>
        <v>239000</v>
      </c>
      <c r="Q28" s="97">
        <f t="shared" si="12"/>
        <v>239000</v>
      </c>
      <c r="R28" s="13">
        <f t="shared" si="12"/>
        <v>239000</v>
      </c>
      <c r="S28" s="97">
        <f t="shared" si="12"/>
        <v>239000</v>
      </c>
      <c r="T28" s="13">
        <f t="shared" si="12"/>
        <v>239000</v>
      </c>
      <c r="U28" s="97">
        <f t="shared" si="12"/>
        <v>239000</v>
      </c>
    </row>
    <row r="29" spans="1:21" x14ac:dyDescent="0.25">
      <c r="A29" s="1" t="s">
        <v>11</v>
      </c>
      <c r="C29" s="111">
        <v>0.05</v>
      </c>
      <c r="D29" t="s">
        <v>302</v>
      </c>
      <c r="E29" s="96">
        <f>E28*$C$29</f>
        <v>11950</v>
      </c>
      <c r="F29" s="14">
        <f t="shared" ref="F29:H29" si="13">F28*$C$29</f>
        <v>11950</v>
      </c>
      <c r="G29" s="96">
        <f t="shared" si="13"/>
        <v>11950</v>
      </c>
      <c r="H29" s="14">
        <f t="shared" si="13"/>
        <v>11950</v>
      </c>
      <c r="I29" s="96">
        <f t="shared" ref="I29:U29" si="14">I28*$C$29</f>
        <v>11950</v>
      </c>
      <c r="J29" s="14">
        <f t="shared" si="14"/>
        <v>11950</v>
      </c>
      <c r="K29" s="96">
        <f t="shared" si="14"/>
        <v>11950</v>
      </c>
      <c r="L29" s="14">
        <f t="shared" si="14"/>
        <v>11950</v>
      </c>
      <c r="M29" s="96">
        <f t="shared" si="14"/>
        <v>11950</v>
      </c>
      <c r="N29" s="14">
        <f t="shared" si="14"/>
        <v>11950</v>
      </c>
      <c r="O29" s="96">
        <f t="shared" si="14"/>
        <v>11950</v>
      </c>
      <c r="P29" s="14">
        <f t="shared" si="14"/>
        <v>11950</v>
      </c>
      <c r="Q29" s="96">
        <f t="shared" si="14"/>
        <v>11950</v>
      </c>
      <c r="R29" s="14">
        <f t="shared" si="14"/>
        <v>11950</v>
      </c>
      <c r="S29" s="96">
        <f t="shared" si="14"/>
        <v>11950</v>
      </c>
      <c r="T29" s="14">
        <f t="shared" si="14"/>
        <v>11950</v>
      </c>
      <c r="U29" s="96">
        <f t="shared" si="14"/>
        <v>11950</v>
      </c>
    </row>
    <row r="30" spans="1:21" x14ac:dyDescent="0.25">
      <c r="A30" s="3" t="s">
        <v>114</v>
      </c>
      <c r="C30" s="108"/>
      <c r="E30" s="95"/>
      <c r="G30" s="95"/>
      <c r="I30" s="95"/>
      <c r="K30" s="95"/>
      <c r="M30" s="95"/>
      <c r="O30" s="97"/>
      <c r="Q30" s="95"/>
      <c r="S30" s="95"/>
      <c r="U30" s="95"/>
    </row>
    <row r="31" spans="1:21" x14ac:dyDescent="0.25">
      <c r="A31" s="1" t="s">
        <v>115</v>
      </c>
      <c r="C31" s="108"/>
      <c r="E31" s="112">
        <v>100000</v>
      </c>
      <c r="F31" s="13">
        <f>E31</f>
        <v>100000</v>
      </c>
      <c r="G31" s="97">
        <f t="shared" ref="G31:U31" si="15">F31</f>
        <v>100000</v>
      </c>
      <c r="H31" s="13">
        <f t="shared" si="15"/>
        <v>100000</v>
      </c>
      <c r="I31" s="97">
        <f t="shared" si="15"/>
        <v>100000</v>
      </c>
      <c r="J31" s="13">
        <f t="shared" si="15"/>
        <v>100000</v>
      </c>
      <c r="K31" s="97">
        <f t="shared" si="15"/>
        <v>100000</v>
      </c>
      <c r="L31" s="13">
        <f t="shared" si="15"/>
        <v>100000</v>
      </c>
      <c r="M31" s="97">
        <f t="shared" si="15"/>
        <v>100000</v>
      </c>
      <c r="N31" s="13">
        <f t="shared" si="15"/>
        <v>100000</v>
      </c>
      <c r="O31" s="97">
        <f t="shared" si="15"/>
        <v>100000</v>
      </c>
      <c r="P31" s="13">
        <f t="shared" si="15"/>
        <v>100000</v>
      </c>
      <c r="Q31" s="97">
        <f t="shared" si="15"/>
        <v>100000</v>
      </c>
      <c r="R31" s="13">
        <f t="shared" si="15"/>
        <v>100000</v>
      </c>
      <c r="S31" s="97">
        <f t="shared" si="15"/>
        <v>100000</v>
      </c>
      <c r="T31" s="13">
        <f t="shared" si="15"/>
        <v>100000</v>
      </c>
      <c r="U31" s="97">
        <f t="shared" si="15"/>
        <v>100000</v>
      </c>
    </row>
    <row r="32" spans="1:21" x14ac:dyDescent="0.25">
      <c r="A32" s="1" t="s">
        <v>116</v>
      </c>
      <c r="C32" s="108"/>
      <c r="E32" s="96">
        <f>E28-E31</f>
        <v>139000</v>
      </c>
      <c r="F32" s="14">
        <f>E32</f>
        <v>139000</v>
      </c>
      <c r="G32" s="97">
        <f t="shared" ref="G32:U32" si="16">F32</f>
        <v>139000</v>
      </c>
      <c r="H32" s="14">
        <f t="shared" si="16"/>
        <v>139000</v>
      </c>
      <c r="I32" s="97">
        <f t="shared" si="16"/>
        <v>139000</v>
      </c>
      <c r="J32" s="14">
        <f t="shared" si="16"/>
        <v>139000</v>
      </c>
      <c r="K32" s="97">
        <f t="shared" si="16"/>
        <v>139000</v>
      </c>
      <c r="L32" s="14">
        <f t="shared" si="16"/>
        <v>139000</v>
      </c>
      <c r="M32" s="97">
        <f t="shared" si="16"/>
        <v>139000</v>
      </c>
      <c r="N32" s="14">
        <f t="shared" si="16"/>
        <v>139000</v>
      </c>
      <c r="O32" s="97">
        <f t="shared" si="16"/>
        <v>139000</v>
      </c>
      <c r="P32" s="14">
        <f t="shared" si="16"/>
        <v>139000</v>
      </c>
      <c r="Q32" s="97">
        <f t="shared" si="16"/>
        <v>139000</v>
      </c>
      <c r="R32" s="14">
        <f t="shared" si="16"/>
        <v>139000</v>
      </c>
      <c r="S32" s="97">
        <f t="shared" si="16"/>
        <v>139000</v>
      </c>
      <c r="T32" s="14">
        <f t="shared" si="16"/>
        <v>139000</v>
      </c>
      <c r="U32" s="97">
        <f t="shared" si="16"/>
        <v>139000</v>
      </c>
    </row>
    <row r="33" spans="1:21" x14ac:dyDescent="0.25">
      <c r="A33" s="2" t="s">
        <v>300</v>
      </c>
      <c r="C33" s="110">
        <v>0.06</v>
      </c>
      <c r="E33" s="95"/>
      <c r="G33" s="95"/>
      <c r="I33" s="95"/>
      <c r="K33" s="95"/>
      <c r="M33" s="95"/>
      <c r="O33" s="95"/>
      <c r="Q33" s="95"/>
      <c r="S33" s="95"/>
      <c r="U33" s="95"/>
    </row>
    <row r="34" spans="1:21" x14ac:dyDescent="0.25">
      <c r="A34" s="2" t="s">
        <v>302</v>
      </c>
      <c r="C34" s="134">
        <v>15</v>
      </c>
      <c r="D34" s="135"/>
      <c r="E34" s="136"/>
      <c r="G34" s="95"/>
      <c r="I34" s="95"/>
      <c r="K34" s="95"/>
      <c r="M34" s="95"/>
      <c r="O34" s="95"/>
      <c r="Q34" s="95"/>
      <c r="S34" s="95"/>
      <c r="U34" s="95"/>
    </row>
    <row r="35" spans="1:21" x14ac:dyDescent="0.25">
      <c r="A35" s="1" t="s">
        <v>117</v>
      </c>
      <c r="C35" s="110">
        <v>0.17</v>
      </c>
      <c r="E35" s="95"/>
      <c r="G35" s="95"/>
      <c r="I35" s="95"/>
      <c r="K35" s="95"/>
      <c r="M35" s="95"/>
      <c r="O35" s="95"/>
      <c r="Q35" s="95"/>
      <c r="S35" s="95"/>
      <c r="U35" s="95"/>
    </row>
    <row r="36" spans="1:21" x14ac:dyDescent="0.25">
      <c r="A36" s="1" t="s">
        <v>14</v>
      </c>
      <c r="C36" s="110">
        <v>0.2</v>
      </c>
      <c r="E36" s="95"/>
      <c r="G36" s="95"/>
      <c r="I36" s="95"/>
      <c r="K36" s="95"/>
      <c r="M36" s="95"/>
      <c r="O36" s="95"/>
      <c r="Q36" s="95"/>
      <c r="S36" s="95"/>
      <c r="U36" s="95"/>
    </row>
    <row r="37" spans="1:21" x14ac:dyDescent="0.25">
      <c r="A37" s="3" t="s">
        <v>118</v>
      </c>
      <c r="C37" s="112">
        <v>500</v>
      </c>
      <c r="E37" s="95"/>
      <c r="G37" s="95"/>
      <c r="I37" s="95"/>
      <c r="K37" s="95"/>
      <c r="M37" s="95"/>
      <c r="O37" s="95"/>
      <c r="Q37" s="95"/>
      <c r="S37" s="95"/>
      <c r="U37" s="95"/>
    </row>
    <row r="38" spans="1:21" x14ac:dyDescent="0.25">
      <c r="A38" s="113" t="s">
        <v>285</v>
      </c>
    </row>
    <row r="39" spans="1:21" x14ac:dyDescent="0.25">
      <c r="A39" s="1" t="str">
        <f>WACC!B6</f>
        <v>Projected return of T-Bills</v>
      </c>
      <c r="E39" s="110">
        <v>0.01</v>
      </c>
    </row>
    <row r="40" spans="1:21" x14ac:dyDescent="0.25">
      <c r="A40" s="1" t="str">
        <f>WACC!B7</f>
        <v xml:space="preserve">Projected return of S&amp;P 500 </v>
      </c>
      <c r="E40" s="110">
        <v>0.12</v>
      </c>
      <c r="F40" s="135"/>
    </row>
    <row r="41" spans="1:21" x14ac:dyDescent="0.25">
      <c r="A41" s="1" t="str">
        <f>WACC!B36</f>
        <v>Current Beta (Equity Beta)</v>
      </c>
      <c r="E41" s="108">
        <v>0.97</v>
      </c>
      <c r="F41" s="135"/>
    </row>
    <row r="42" spans="1:21" x14ac:dyDescent="0.25">
      <c r="A42" s="1" t="str">
        <f>WACC!B51</f>
        <v>New Debt Proportion</v>
      </c>
      <c r="E42" s="110">
        <v>0.2</v>
      </c>
    </row>
    <row r="43" spans="1:21" x14ac:dyDescent="0.25">
      <c r="A43" s="1" t="str">
        <f>WACC!B52</f>
        <v>New Equity Proportion</v>
      </c>
      <c r="E43" s="110">
        <v>0.8</v>
      </c>
    </row>
    <row r="44" spans="1:21" x14ac:dyDescent="0.25">
      <c r="A44" s="113" t="s">
        <v>330</v>
      </c>
    </row>
    <row r="45" spans="1:21" x14ac:dyDescent="0.25">
      <c r="A45" s="1" t="s">
        <v>332</v>
      </c>
      <c r="C45" s="142">
        <v>1</v>
      </c>
      <c r="D45" s="135"/>
    </row>
    <row r="56" spans="1:3" x14ac:dyDescent="0.25">
      <c r="A56" t="s">
        <v>306</v>
      </c>
    </row>
    <row r="57" spans="1:3" x14ac:dyDescent="0.25">
      <c r="A57" t="s">
        <v>309</v>
      </c>
      <c r="C57" s="178" t="s">
        <v>310</v>
      </c>
    </row>
    <row r="58" spans="1:3" x14ac:dyDescent="0.25">
      <c r="A58" s="135" t="s">
        <v>308</v>
      </c>
      <c r="C58" s="178" t="s">
        <v>307</v>
      </c>
    </row>
  </sheetData>
  <hyperlinks>
    <hyperlink ref="C58" r:id="rId1"/>
    <hyperlink ref="C57" r:id="rId2"/>
  </hyperlinks>
  <pageMargins left="0.7" right="0.7" top="0.75" bottom="0.75" header="0.3" footer="0.3"/>
  <pageSetup orientation="portrait" horizontalDpi="300" verticalDpi="300"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4"/>
  <sheetViews>
    <sheetView topLeftCell="A23" zoomScale="60" zoomScaleNormal="60" zoomScalePageLayoutView="60" workbookViewId="0">
      <pane xSplit="3" topLeftCell="G1" activePane="topRight" state="frozen"/>
      <selection pane="topRight" activeCell="P54" sqref="P54"/>
    </sheetView>
  </sheetViews>
  <sheetFormatPr defaultColWidth="8.85546875" defaultRowHeight="15" x14ac:dyDescent="0.25"/>
  <cols>
    <col min="3" max="3" width="13" customWidth="1"/>
    <col min="4" max="4" width="16.28515625" bestFit="1" customWidth="1"/>
    <col min="5" max="6" width="16.28515625" hidden="1" customWidth="1"/>
    <col min="7" max="7" width="15.7109375" bestFit="1" customWidth="1"/>
    <col min="8" max="9" width="15.7109375" hidden="1" customWidth="1"/>
    <col min="10" max="10" width="15.7109375" bestFit="1" customWidth="1"/>
    <col min="11" max="12" width="15.7109375" hidden="1" customWidth="1"/>
    <col min="13" max="13" width="15.7109375" bestFit="1" customWidth="1"/>
    <col min="14" max="15" width="15.7109375" hidden="1" customWidth="1"/>
    <col min="16" max="16" width="15.42578125" bestFit="1" customWidth="1"/>
    <col min="17" max="18" width="15.42578125" hidden="1" customWidth="1"/>
    <col min="19" max="19" width="15.7109375" bestFit="1" customWidth="1"/>
    <col min="20" max="21" width="15.7109375" hidden="1" customWidth="1"/>
    <col min="22" max="22" width="15.7109375" bestFit="1" customWidth="1"/>
    <col min="23" max="24" width="15.7109375" hidden="1" customWidth="1"/>
    <col min="25" max="25" width="15.7109375" bestFit="1" customWidth="1"/>
    <col min="26" max="27" width="15.7109375" hidden="1" customWidth="1"/>
    <col min="28" max="28" width="15.42578125" bestFit="1" customWidth="1"/>
    <col min="29" max="30" width="15.42578125" hidden="1" customWidth="1"/>
    <col min="31" max="31" width="15.7109375" bestFit="1" customWidth="1"/>
    <col min="32" max="33" width="15.7109375" hidden="1" customWidth="1"/>
    <col min="34" max="34" width="15.42578125" bestFit="1" customWidth="1"/>
    <col min="35" max="36" width="15.42578125" hidden="1" customWidth="1"/>
    <col min="37" max="37" width="15.7109375" bestFit="1" customWidth="1"/>
    <col min="38" max="39" width="15.7109375" hidden="1" customWidth="1"/>
    <col min="40" max="40" width="15.7109375" bestFit="1" customWidth="1"/>
    <col min="41" max="42" width="15.7109375" hidden="1" customWidth="1"/>
    <col min="43" max="43" width="15.42578125" bestFit="1" customWidth="1"/>
    <col min="44" max="45" width="15.42578125" hidden="1" customWidth="1"/>
    <col min="46" max="46" width="15.42578125" bestFit="1" customWidth="1"/>
    <col min="47" max="48" width="15.42578125" hidden="1" customWidth="1"/>
    <col min="49" max="49" width="15.7109375" bestFit="1" customWidth="1"/>
    <col min="50" max="51" width="15.140625" hidden="1" customWidth="1"/>
    <col min="52" max="52" width="15.7109375" bestFit="1" customWidth="1"/>
    <col min="53" max="54" width="15.7109375" style="12" hidden="1" customWidth="1"/>
  </cols>
  <sheetData>
    <row r="1" spans="1:54" x14ac:dyDescent="0.25">
      <c r="A1" s="26" t="s">
        <v>0</v>
      </c>
      <c r="B1" s="27"/>
      <c r="C1" s="27"/>
      <c r="D1" s="75"/>
      <c r="E1" s="75"/>
      <c r="F1" s="75"/>
      <c r="G1" s="27"/>
      <c r="H1" s="27"/>
      <c r="I1" s="27"/>
      <c r="J1" s="75"/>
      <c r="K1" s="75"/>
      <c r="L1" s="75"/>
      <c r="M1" s="27"/>
      <c r="N1" s="27"/>
      <c r="O1" s="27"/>
      <c r="P1" s="75"/>
      <c r="Q1" s="75"/>
      <c r="R1" s="75"/>
      <c r="S1" s="27"/>
      <c r="T1" s="27"/>
      <c r="U1" s="27"/>
      <c r="V1" s="75"/>
      <c r="W1" s="75"/>
      <c r="X1" s="75"/>
      <c r="Y1" s="27"/>
      <c r="Z1" s="27"/>
      <c r="AA1" s="27"/>
      <c r="AB1" s="75"/>
      <c r="AC1" s="75"/>
      <c r="AD1" s="75"/>
      <c r="AE1" s="27"/>
      <c r="AF1" s="27"/>
      <c r="AG1" s="27"/>
      <c r="AH1" s="75"/>
      <c r="AI1" s="75"/>
      <c r="AJ1" s="75"/>
      <c r="AK1" s="27"/>
      <c r="AL1" s="27"/>
      <c r="AM1" s="27"/>
      <c r="AN1" s="75"/>
      <c r="AO1" s="75"/>
      <c r="AP1" s="75"/>
      <c r="AQ1" s="27"/>
      <c r="AR1" s="27"/>
      <c r="AS1" s="27"/>
      <c r="AT1" s="75"/>
      <c r="AU1" s="75"/>
      <c r="AV1" s="75"/>
      <c r="AW1" s="27"/>
      <c r="AX1" s="27"/>
      <c r="AY1" s="27"/>
      <c r="AZ1" s="81"/>
      <c r="BA1" s="81"/>
      <c r="BB1" s="62"/>
    </row>
    <row r="2" spans="1:54" x14ac:dyDescent="0.25">
      <c r="A2" s="28" t="s">
        <v>1</v>
      </c>
      <c r="B2" s="11"/>
      <c r="C2" s="11"/>
      <c r="D2" s="67">
        <v>2012</v>
      </c>
      <c r="E2" s="67"/>
      <c r="F2" s="67"/>
      <c r="G2" s="11">
        <v>2013</v>
      </c>
      <c r="H2" s="11"/>
      <c r="I2" s="11"/>
      <c r="J2" s="67">
        <v>2014</v>
      </c>
      <c r="K2" s="67"/>
      <c r="L2" s="67"/>
      <c r="M2" s="11">
        <v>2015</v>
      </c>
      <c r="N2" s="11"/>
      <c r="O2" s="11"/>
      <c r="P2" s="67">
        <v>2016</v>
      </c>
      <c r="Q2" s="67"/>
      <c r="R2" s="67"/>
      <c r="S2" s="11">
        <v>2017</v>
      </c>
      <c r="T2" s="11"/>
      <c r="U2" s="11"/>
      <c r="V2" s="67">
        <v>2018</v>
      </c>
      <c r="W2" s="67"/>
      <c r="X2" s="67"/>
      <c r="Y2" s="11">
        <v>2019</v>
      </c>
      <c r="Z2" s="11"/>
      <c r="AA2" s="11"/>
      <c r="AB2" s="67">
        <v>2020</v>
      </c>
      <c r="AC2" s="67"/>
      <c r="AD2" s="67"/>
      <c r="AE2" s="11">
        <v>2021</v>
      </c>
      <c r="AF2" s="11"/>
      <c r="AG2" s="11"/>
      <c r="AH2" s="67">
        <v>2022</v>
      </c>
      <c r="AI2" s="67"/>
      <c r="AJ2" s="67"/>
      <c r="AK2" s="11">
        <v>2023</v>
      </c>
      <c r="AL2" s="11"/>
      <c r="AM2" s="11"/>
      <c r="AN2" s="67">
        <v>2024</v>
      </c>
      <c r="AO2" s="67"/>
      <c r="AP2" s="67"/>
      <c r="AQ2" s="11">
        <v>2025</v>
      </c>
      <c r="AR2" s="11"/>
      <c r="AS2" s="11"/>
      <c r="AT2" s="67">
        <v>2026</v>
      </c>
      <c r="AU2" s="67"/>
      <c r="AV2" s="67"/>
      <c r="AW2" s="11">
        <v>2027</v>
      </c>
      <c r="AX2" s="11"/>
      <c r="AY2" s="11"/>
      <c r="AZ2" s="74">
        <v>2028</v>
      </c>
      <c r="BA2" s="69"/>
      <c r="BB2" s="62"/>
    </row>
    <row r="3" spans="1:54" x14ac:dyDescent="0.25">
      <c r="A3" s="29" t="s">
        <v>2</v>
      </c>
      <c r="B3" s="12"/>
      <c r="C3" s="12"/>
      <c r="D3" s="62"/>
      <c r="E3" s="62"/>
      <c r="F3" s="62"/>
      <c r="G3" s="12"/>
      <c r="H3" s="12"/>
      <c r="I3" s="12"/>
      <c r="J3" s="62"/>
      <c r="K3" s="62"/>
      <c r="L3" s="62"/>
      <c r="M3" s="12"/>
      <c r="N3" s="12"/>
      <c r="O3" s="12"/>
      <c r="P3" s="62"/>
      <c r="Q3" s="62"/>
      <c r="R3" s="62"/>
      <c r="S3" s="12"/>
      <c r="T3" s="12"/>
      <c r="U3" s="12"/>
      <c r="V3" s="62"/>
      <c r="W3" s="62"/>
      <c r="X3" s="62"/>
      <c r="Y3" s="12"/>
      <c r="Z3" s="12"/>
      <c r="AA3" s="12"/>
      <c r="AB3" s="62"/>
      <c r="AC3" s="62"/>
      <c r="AD3" s="62"/>
      <c r="AE3" s="12"/>
      <c r="AF3" s="12"/>
      <c r="AG3" s="12"/>
      <c r="AH3" s="62"/>
      <c r="AI3" s="62"/>
      <c r="AJ3" s="62"/>
      <c r="AK3" s="12"/>
      <c r="AL3" s="12"/>
      <c r="AM3" s="12"/>
      <c r="AN3" s="62"/>
      <c r="AO3" s="62"/>
      <c r="AP3" s="62"/>
      <c r="AQ3" s="12"/>
      <c r="AR3" s="12"/>
      <c r="AS3" s="12"/>
      <c r="AT3" s="62"/>
      <c r="AU3" s="62"/>
      <c r="AV3" s="62"/>
      <c r="AW3" s="12"/>
      <c r="AX3" s="12"/>
      <c r="AY3" s="12"/>
      <c r="AZ3" s="69"/>
      <c r="BA3" s="69"/>
      <c r="BB3" s="62"/>
    </row>
    <row r="4" spans="1:54" x14ac:dyDescent="0.25">
      <c r="A4" s="30" t="s">
        <v>3</v>
      </c>
      <c r="B4" s="12"/>
      <c r="C4" s="12"/>
      <c r="D4" s="62"/>
      <c r="E4" s="62"/>
      <c r="F4" s="62"/>
      <c r="G4" s="12"/>
      <c r="H4" s="12"/>
      <c r="I4" s="12"/>
      <c r="J4" s="62"/>
      <c r="K4" s="62"/>
      <c r="L4" s="62"/>
      <c r="M4" s="12"/>
      <c r="N4" s="12"/>
      <c r="O4" s="12"/>
      <c r="P4" s="62"/>
      <c r="Q4" s="62"/>
      <c r="R4" s="62"/>
      <c r="S4" s="12"/>
      <c r="T4" s="12"/>
      <c r="U4" s="12"/>
      <c r="V4" s="62"/>
      <c r="W4" s="62"/>
      <c r="X4" s="62"/>
      <c r="Y4" s="12"/>
      <c r="Z4" s="12"/>
      <c r="AA4" s="12"/>
      <c r="AB4" s="62"/>
      <c r="AC4" s="62"/>
      <c r="AD4" s="62"/>
      <c r="AE4" s="12"/>
      <c r="AF4" s="12"/>
      <c r="AG4" s="12"/>
      <c r="AH4" s="62"/>
      <c r="AI4" s="62"/>
      <c r="AJ4" s="62"/>
      <c r="AK4" s="12"/>
      <c r="AL4" s="12"/>
      <c r="AM4" s="12"/>
      <c r="AN4" s="62"/>
      <c r="AO4" s="62"/>
      <c r="AP4" s="62"/>
      <c r="AQ4" s="12"/>
      <c r="AR4" s="12"/>
      <c r="AS4" s="12"/>
      <c r="AT4" s="62"/>
      <c r="AU4" s="62"/>
      <c r="AV4" s="62"/>
      <c r="AW4" s="12"/>
      <c r="AX4" s="12"/>
      <c r="AY4" s="12"/>
      <c r="AZ4" s="69"/>
      <c r="BA4" s="69"/>
      <c r="BB4" s="62"/>
    </row>
    <row r="5" spans="1:54" x14ac:dyDescent="0.25">
      <c r="A5" s="31" t="s">
        <v>4</v>
      </c>
      <c r="B5" s="12"/>
      <c r="C5" s="12"/>
      <c r="D5" s="63">
        <f>Assumptions!E5</f>
        <v>135000</v>
      </c>
      <c r="E5" s="63"/>
      <c r="F5" s="63"/>
      <c r="G5" s="32">
        <f>Assumptions!F5</f>
        <v>143916.75</v>
      </c>
      <c r="H5" s="32"/>
      <c r="I5" s="32"/>
      <c r="J5" s="63">
        <f>Assumptions!G5</f>
        <v>153422.45133749998</v>
      </c>
      <c r="K5" s="63"/>
      <c r="L5" s="63"/>
      <c r="M5" s="32">
        <f>Assumptions!H5</f>
        <v>163556.00424834187</v>
      </c>
      <c r="N5" s="32"/>
      <c r="O5" s="32"/>
      <c r="P5" s="63">
        <f>Assumptions!I5</f>
        <v>174358.87832894485</v>
      </c>
      <c r="Q5" s="63"/>
      <c r="R5" s="63"/>
      <c r="S5" s="32">
        <f>Assumptions!J5</f>
        <v>185875.28224257161</v>
      </c>
      <c r="T5" s="32"/>
      <c r="U5" s="32"/>
      <c r="V5" s="63">
        <f>Assumptions!K5</f>
        <v>198152.34463469347</v>
      </c>
      <c r="W5" s="63"/>
      <c r="X5" s="63"/>
      <c r="Y5" s="32">
        <f>Assumptions!L5</f>
        <v>211240.30699781497</v>
      </c>
      <c r="Z5" s="32"/>
      <c r="AA5" s="32"/>
      <c r="AB5" s="63">
        <f>Assumptions!M5</f>
        <v>225192.72927502068</v>
      </c>
      <c r="AC5" s="63"/>
      <c r="AD5" s="63"/>
      <c r="AE5" s="32">
        <f>Assumptions!N5</f>
        <v>240066.70904363572</v>
      </c>
      <c r="AF5" s="32"/>
      <c r="AG5" s="32"/>
      <c r="AH5" s="63">
        <f>Assumptions!O5</f>
        <v>255923.11517596786</v>
      </c>
      <c r="AI5" s="63"/>
      <c r="AJ5" s="63"/>
      <c r="AK5" s="32">
        <f>Assumptions!P5</f>
        <v>272826.83693334053</v>
      </c>
      <c r="AL5" s="32"/>
      <c r="AM5" s="32"/>
      <c r="AN5" s="63">
        <f>Assumptions!Q5</f>
        <v>290847.04951278766</v>
      </c>
      <c r="AO5" s="63"/>
      <c r="AP5" s="63"/>
      <c r="AQ5" s="32">
        <f>Assumptions!R5</f>
        <v>310057.49713310733</v>
      </c>
      <c r="AR5" s="32"/>
      <c r="AS5" s="32"/>
      <c r="AT5" s="63">
        <f>Assumptions!S5</f>
        <v>330536.79481874901</v>
      </c>
      <c r="AU5" s="63"/>
      <c r="AV5" s="63"/>
      <c r="AW5" s="32">
        <f>Assumptions!T5</f>
        <v>352368.75011652743</v>
      </c>
      <c r="AX5" s="32"/>
      <c r="AY5" s="32"/>
      <c r="AZ5" s="70">
        <f>Assumptions!U5</f>
        <v>400685.55313250568</v>
      </c>
      <c r="BA5" s="70"/>
      <c r="BB5" s="63"/>
    </row>
    <row r="6" spans="1:54" x14ac:dyDescent="0.25">
      <c r="A6" s="33" t="s">
        <v>5</v>
      </c>
      <c r="B6" s="12"/>
      <c r="C6" s="12"/>
      <c r="D6" s="101">
        <f>Assumptions!E13</f>
        <v>13500</v>
      </c>
      <c r="E6" s="101"/>
      <c r="F6" s="101"/>
      <c r="G6" s="102">
        <f>Assumptions!F13</f>
        <v>14391.675000000001</v>
      </c>
      <c r="H6" s="102"/>
      <c r="I6" s="102"/>
      <c r="J6" s="101">
        <f>Assumptions!G13</f>
        <v>15342.245133749999</v>
      </c>
      <c r="K6" s="101"/>
      <c r="L6" s="101"/>
      <c r="M6" s="102">
        <f>Assumptions!H13</f>
        <v>16355.600424834187</v>
      </c>
      <c r="N6" s="102"/>
      <c r="O6" s="102"/>
      <c r="P6" s="101">
        <f>Assumptions!I13</f>
        <v>17435.887832894485</v>
      </c>
      <c r="Q6" s="101"/>
      <c r="R6" s="101"/>
      <c r="S6" s="102">
        <f>Assumptions!J13</f>
        <v>18587.528224257163</v>
      </c>
      <c r="T6" s="102"/>
      <c r="U6" s="102"/>
      <c r="V6" s="101">
        <f>Assumptions!K13</f>
        <v>19815.234463469347</v>
      </c>
      <c r="W6" s="101"/>
      <c r="X6" s="101"/>
      <c r="Y6" s="102">
        <f>Assumptions!L13</f>
        <v>21124.030699781499</v>
      </c>
      <c r="Z6" s="102"/>
      <c r="AA6" s="102"/>
      <c r="AB6" s="101">
        <f>Assumptions!M13</f>
        <v>22519.272927502068</v>
      </c>
      <c r="AC6" s="101"/>
      <c r="AD6" s="101"/>
      <c r="AE6" s="102">
        <f>Assumptions!N13</f>
        <v>24006.670904363575</v>
      </c>
      <c r="AF6" s="102"/>
      <c r="AG6" s="102"/>
      <c r="AH6" s="101">
        <f>Assumptions!O13</f>
        <v>25592.311517596787</v>
      </c>
      <c r="AI6" s="101"/>
      <c r="AJ6" s="101"/>
      <c r="AK6" s="102">
        <f>Assumptions!P13</f>
        <v>27282.683693334053</v>
      </c>
      <c r="AL6" s="102"/>
      <c r="AM6" s="102"/>
      <c r="AN6" s="101">
        <f>Assumptions!Q13</f>
        <v>29084.704951278767</v>
      </c>
      <c r="AO6" s="101"/>
      <c r="AP6" s="101"/>
      <c r="AQ6" s="102">
        <f>Assumptions!R13</f>
        <v>31005.749713310735</v>
      </c>
      <c r="AR6" s="102"/>
      <c r="AS6" s="102"/>
      <c r="AT6" s="101">
        <f>Assumptions!S13</f>
        <v>33053.679481874904</v>
      </c>
      <c r="AU6" s="101"/>
      <c r="AV6" s="101"/>
      <c r="AW6" s="102">
        <f>Assumptions!T13</f>
        <v>35236.875011652744</v>
      </c>
      <c r="AX6" s="102"/>
      <c r="AY6" s="102"/>
      <c r="AZ6" s="104">
        <f>Assumptions!U13</f>
        <v>40068.555313250574</v>
      </c>
      <c r="BA6" s="70"/>
      <c r="BB6" s="63"/>
    </row>
    <row r="7" spans="1:54" x14ac:dyDescent="0.25">
      <c r="A7" s="30" t="s">
        <v>6</v>
      </c>
      <c r="B7" s="12"/>
      <c r="C7" s="12"/>
      <c r="D7" s="63">
        <f>D5-D6</f>
        <v>121500</v>
      </c>
      <c r="E7" s="63"/>
      <c r="F7" s="63"/>
      <c r="G7" s="32">
        <f t="shared" ref="G7:M7" si="0">G5-G6</f>
        <v>129525.075</v>
      </c>
      <c r="H7" s="32"/>
      <c r="I7" s="32"/>
      <c r="J7" s="63">
        <f t="shared" si="0"/>
        <v>138080.20620374999</v>
      </c>
      <c r="K7" s="63"/>
      <c r="L7" s="63"/>
      <c r="M7" s="32">
        <f t="shared" si="0"/>
        <v>147200.40382350769</v>
      </c>
      <c r="N7" s="32"/>
      <c r="O7" s="32"/>
      <c r="P7" s="63">
        <f t="shared" ref="P7:AH7" si="1">P5-P6</f>
        <v>156922.99049605036</v>
      </c>
      <c r="Q7" s="63"/>
      <c r="R7" s="63"/>
      <c r="S7" s="32">
        <f t="shared" si="1"/>
        <v>167287.75401831444</v>
      </c>
      <c r="T7" s="32"/>
      <c r="U7" s="32"/>
      <c r="V7" s="63">
        <f t="shared" si="1"/>
        <v>178337.11017122411</v>
      </c>
      <c r="W7" s="63"/>
      <c r="X7" s="63"/>
      <c r="Y7" s="32">
        <f t="shared" si="1"/>
        <v>190116.27629803348</v>
      </c>
      <c r="Z7" s="32"/>
      <c r="AA7" s="32"/>
      <c r="AB7" s="63">
        <f t="shared" si="1"/>
        <v>202673.4563475186</v>
      </c>
      <c r="AC7" s="63"/>
      <c r="AD7" s="63"/>
      <c r="AE7" s="32">
        <f t="shared" si="1"/>
        <v>216060.03813927216</v>
      </c>
      <c r="AF7" s="32"/>
      <c r="AG7" s="32"/>
      <c r="AH7" s="63">
        <f t="shared" si="1"/>
        <v>230330.80365837106</v>
      </c>
      <c r="AI7" s="63"/>
      <c r="AJ7" s="63"/>
      <c r="AK7" s="32">
        <f t="shared" ref="AK7:AZ7" si="2">AK5-AK6</f>
        <v>245544.15324000648</v>
      </c>
      <c r="AL7" s="32"/>
      <c r="AM7" s="32"/>
      <c r="AN7" s="63">
        <f t="shared" si="2"/>
        <v>261762.34456150889</v>
      </c>
      <c r="AO7" s="63"/>
      <c r="AP7" s="63"/>
      <c r="AQ7" s="32">
        <f t="shared" si="2"/>
        <v>279051.74741979659</v>
      </c>
      <c r="AR7" s="32"/>
      <c r="AS7" s="32"/>
      <c r="AT7" s="63">
        <f t="shared" si="2"/>
        <v>297483.11533687409</v>
      </c>
      <c r="AU7" s="63"/>
      <c r="AV7" s="63"/>
      <c r="AW7" s="32">
        <f t="shared" si="2"/>
        <v>317131.87510487466</v>
      </c>
      <c r="AX7" s="32"/>
      <c r="AY7" s="32"/>
      <c r="AZ7" s="70">
        <f t="shared" si="2"/>
        <v>360616.99781925511</v>
      </c>
      <c r="BA7" s="70"/>
      <c r="BB7" s="63"/>
    </row>
    <row r="8" spans="1:54" x14ac:dyDescent="0.25">
      <c r="A8" s="34"/>
      <c r="B8" s="12"/>
      <c r="C8" s="12"/>
      <c r="D8" s="62"/>
      <c r="E8" s="62"/>
      <c r="F8" s="62"/>
      <c r="G8" s="12"/>
      <c r="H8" s="12"/>
      <c r="I8" s="12"/>
      <c r="J8" s="62"/>
      <c r="K8" s="62"/>
      <c r="L8" s="62"/>
      <c r="M8" s="12"/>
      <c r="N8" s="12"/>
      <c r="O8" s="12"/>
      <c r="P8" s="62"/>
      <c r="Q8" s="62"/>
      <c r="R8" s="62"/>
      <c r="S8" s="12"/>
      <c r="T8" s="12"/>
      <c r="U8" s="12"/>
      <c r="V8" s="62"/>
      <c r="W8" s="62"/>
      <c r="X8" s="62"/>
      <c r="Y8" s="12"/>
      <c r="Z8" s="12"/>
      <c r="AA8" s="12"/>
      <c r="AB8" s="62"/>
      <c r="AC8" s="62"/>
      <c r="AD8" s="62"/>
      <c r="AE8" s="12"/>
      <c r="AF8" s="12"/>
      <c r="AG8" s="12"/>
      <c r="AH8" s="62"/>
      <c r="AI8" s="62"/>
      <c r="AJ8" s="62"/>
      <c r="AK8" s="12"/>
      <c r="AL8" s="12"/>
      <c r="AM8" s="12"/>
      <c r="AN8" s="62"/>
      <c r="AO8" s="62"/>
      <c r="AP8" s="62"/>
      <c r="AQ8" s="12"/>
      <c r="AR8" s="12"/>
      <c r="AS8" s="12"/>
      <c r="AT8" s="62"/>
      <c r="AU8" s="62"/>
      <c r="AV8" s="62"/>
      <c r="AW8" s="12"/>
      <c r="AX8" s="12"/>
      <c r="AY8" s="12"/>
      <c r="AZ8" s="69"/>
      <c r="BA8" s="69"/>
      <c r="BB8" s="62"/>
    </row>
    <row r="9" spans="1:54" x14ac:dyDescent="0.25">
      <c r="A9" s="29" t="s">
        <v>7</v>
      </c>
      <c r="B9" s="12"/>
      <c r="C9" s="12"/>
      <c r="D9" s="62"/>
      <c r="E9" s="62"/>
      <c r="F9" s="62"/>
      <c r="G9" s="12"/>
      <c r="H9" s="12"/>
      <c r="I9" s="12"/>
      <c r="J9" s="62"/>
      <c r="K9" s="62"/>
      <c r="L9" s="62"/>
      <c r="M9" s="12"/>
      <c r="N9" s="12"/>
      <c r="O9" s="12"/>
      <c r="P9" s="62"/>
      <c r="Q9" s="62"/>
      <c r="R9" s="62"/>
      <c r="S9" s="12"/>
      <c r="T9" s="12"/>
      <c r="U9" s="12"/>
      <c r="V9" s="62"/>
      <c r="W9" s="62"/>
      <c r="X9" s="62"/>
      <c r="Y9" s="12"/>
      <c r="Z9" s="12"/>
      <c r="AA9" s="12"/>
      <c r="AB9" s="62"/>
      <c r="AC9" s="62"/>
      <c r="AD9" s="62"/>
      <c r="AE9" s="12"/>
      <c r="AF9" s="12"/>
      <c r="AG9" s="12"/>
      <c r="AH9" s="62"/>
      <c r="AI9" s="62"/>
      <c r="AJ9" s="62"/>
      <c r="AK9" s="12"/>
      <c r="AL9" s="12"/>
      <c r="AM9" s="12"/>
      <c r="AN9" s="62"/>
      <c r="AO9" s="62"/>
      <c r="AP9" s="62"/>
      <c r="AQ9" s="12"/>
      <c r="AR9" s="12"/>
      <c r="AS9" s="12"/>
      <c r="AT9" s="62"/>
      <c r="AU9" s="62"/>
      <c r="AV9" s="62"/>
      <c r="AW9" s="12"/>
      <c r="AX9" s="12"/>
      <c r="AY9" s="12"/>
      <c r="AZ9" s="69"/>
      <c r="BA9" s="69"/>
      <c r="BB9" s="62"/>
    </row>
    <row r="10" spans="1:54" x14ac:dyDescent="0.25">
      <c r="A10" s="30" t="s">
        <v>8</v>
      </c>
      <c r="B10" s="12"/>
      <c r="C10" s="12"/>
      <c r="D10" s="63">
        <f>Assumptions!E18</f>
        <v>33750</v>
      </c>
      <c r="E10" s="63"/>
      <c r="F10" s="63"/>
      <c r="G10" s="32">
        <f>Assumptions!F18</f>
        <v>35979.1875</v>
      </c>
      <c r="H10" s="32"/>
      <c r="I10" s="32"/>
      <c r="J10" s="63">
        <f>Assumptions!G18</f>
        <v>38355.612834374995</v>
      </c>
      <c r="K10" s="63"/>
      <c r="L10" s="63"/>
      <c r="M10" s="32">
        <f>Assumptions!H18</f>
        <v>40889.001062085466</v>
      </c>
      <c r="N10" s="32"/>
      <c r="O10" s="32"/>
      <c r="P10" s="63">
        <f>Assumptions!I18</f>
        <v>43589.719582236212</v>
      </c>
      <c r="Q10" s="63"/>
      <c r="R10" s="63"/>
      <c r="S10" s="32">
        <f>Assumptions!J18</f>
        <v>46468.820560642904</v>
      </c>
      <c r="T10" s="32"/>
      <c r="U10" s="32"/>
      <c r="V10" s="63">
        <f>Assumptions!K18</f>
        <v>49538.086158673366</v>
      </c>
      <c r="W10" s="63"/>
      <c r="X10" s="63"/>
      <c r="Y10" s="32">
        <f>Assumptions!L18</f>
        <v>52810.076749453743</v>
      </c>
      <c r="Z10" s="32"/>
      <c r="AA10" s="32"/>
      <c r="AB10" s="63">
        <f>Assumptions!M18</f>
        <v>56298.182318755171</v>
      </c>
      <c r="AC10" s="63"/>
      <c r="AD10" s="63"/>
      <c r="AE10" s="32">
        <f>Assumptions!N18</f>
        <v>60016.677260908931</v>
      </c>
      <c r="AF10" s="32"/>
      <c r="AG10" s="32"/>
      <c r="AH10" s="63">
        <f>Assumptions!O18</f>
        <v>63980.778793991965</v>
      </c>
      <c r="AI10" s="63"/>
      <c r="AJ10" s="63"/>
      <c r="AK10" s="32">
        <f>Assumptions!P18</f>
        <v>68206.709233335132</v>
      </c>
      <c r="AL10" s="32"/>
      <c r="AM10" s="32"/>
      <c r="AN10" s="63">
        <f>Assumptions!Q18</f>
        <v>72711.762378196916</v>
      </c>
      <c r="AO10" s="63"/>
      <c r="AP10" s="63"/>
      <c r="AQ10" s="32">
        <f>Assumptions!R18</f>
        <v>77514.374283276833</v>
      </c>
      <c r="AR10" s="32"/>
      <c r="AS10" s="32"/>
      <c r="AT10" s="63">
        <f>Assumptions!S18</f>
        <v>82634.198704687253</v>
      </c>
      <c r="AU10" s="63"/>
      <c r="AV10" s="63"/>
      <c r="AW10" s="32">
        <f>Assumptions!T18</f>
        <v>88092.187529131857</v>
      </c>
      <c r="AX10" s="32"/>
      <c r="AY10" s="32"/>
      <c r="AZ10" s="70">
        <f>Assumptions!U18</f>
        <v>100171.38828312642</v>
      </c>
      <c r="BA10" s="70"/>
      <c r="BB10" s="63"/>
    </row>
    <row r="11" spans="1:54" x14ac:dyDescent="0.25">
      <c r="A11" s="30" t="s">
        <v>9</v>
      </c>
      <c r="B11" s="12"/>
      <c r="C11" s="12"/>
      <c r="D11" s="79">
        <f>Assumptions!E21</f>
        <v>25650</v>
      </c>
      <c r="E11" s="79"/>
      <c r="F11" s="79"/>
      <c r="G11" s="43">
        <f>Assumptions!F21</f>
        <v>27344.182499999999</v>
      </c>
      <c r="H11" s="43"/>
      <c r="I11" s="43"/>
      <c r="J11" s="79">
        <f>Assumptions!G21</f>
        <v>29150.265754124997</v>
      </c>
      <c r="K11" s="79"/>
      <c r="L11" s="79"/>
      <c r="M11" s="43">
        <f>Assumptions!H21</f>
        <v>31075.640807184955</v>
      </c>
      <c r="N11" s="43"/>
      <c r="O11" s="43"/>
      <c r="P11" s="79">
        <f>Assumptions!I21</f>
        <v>33128.186882499518</v>
      </c>
      <c r="Q11" s="79"/>
      <c r="R11" s="79"/>
      <c r="S11" s="43">
        <f>Assumptions!J21</f>
        <v>35316.303626088607</v>
      </c>
      <c r="T11" s="43"/>
      <c r="U11" s="43"/>
      <c r="V11" s="79">
        <f>Assumptions!K21</f>
        <v>37648.945480591756</v>
      </c>
      <c r="W11" s="79"/>
      <c r="X11" s="79"/>
      <c r="Y11" s="43">
        <f>Assumptions!L21</f>
        <v>40135.658329584847</v>
      </c>
      <c r="Z11" s="43"/>
      <c r="AA11" s="43"/>
      <c r="AB11" s="79">
        <f>Assumptions!M21</f>
        <v>42786.618562253927</v>
      </c>
      <c r="AC11" s="79"/>
      <c r="AD11" s="79"/>
      <c r="AE11" s="43">
        <f>Assumptions!N21</f>
        <v>45612.674718290786</v>
      </c>
      <c r="AF11" s="43"/>
      <c r="AG11" s="43"/>
      <c r="AH11" s="79">
        <f>Assumptions!O21</f>
        <v>48625.391883433891</v>
      </c>
      <c r="AI11" s="79"/>
      <c r="AJ11" s="79"/>
      <c r="AK11" s="43">
        <f>Assumptions!P21</f>
        <v>51837.099017334702</v>
      </c>
      <c r="AL11" s="43"/>
      <c r="AM11" s="43"/>
      <c r="AN11" s="79">
        <f>Assumptions!Q21</f>
        <v>55260.939407429658</v>
      </c>
      <c r="AO11" s="79"/>
      <c r="AP11" s="79"/>
      <c r="AQ11" s="43">
        <f>Assumptions!R21</f>
        <v>58910.924455290391</v>
      </c>
      <c r="AR11" s="43"/>
      <c r="AS11" s="43"/>
      <c r="AT11" s="79">
        <f>Assumptions!S21</f>
        <v>62801.991015562315</v>
      </c>
      <c r="AU11" s="79"/>
      <c r="AV11" s="79"/>
      <c r="AW11" s="43">
        <f>Assumptions!T21</f>
        <v>66950.062522140215</v>
      </c>
      <c r="AX11" s="43"/>
      <c r="AY11" s="43"/>
      <c r="AZ11" s="87">
        <f>Assumptions!U21</f>
        <v>76130.255095176079</v>
      </c>
      <c r="BA11" s="70"/>
      <c r="BB11" s="63"/>
    </row>
    <row r="12" spans="1:54" x14ac:dyDescent="0.25">
      <c r="A12" s="30" t="s">
        <v>109</v>
      </c>
      <c r="B12" s="12"/>
      <c r="C12" s="12"/>
      <c r="D12" s="79">
        <f>Assumptions!E15</f>
        <v>26325</v>
      </c>
      <c r="E12" s="79"/>
      <c r="F12" s="79"/>
      <c r="G12" s="43">
        <f>Assumptions!F15</f>
        <v>28063.766250000001</v>
      </c>
      <c r="H12" s="43"/>
      <c r="I12" s="43"/>
      <c r="J12" s="79">
        <f>Assumptions!G15</f>
        <v>29917.378010812496</v>
      </c>
      <c r="K12" s="79"/>
      <c r="L12" s="79"/>
      <c r="M12" s="43">
        <f>Assumptions!H15</f>
        <v>31893.420828426664</v>
      </c>
      <c r="N12" s="43"/>
      <c r="O12" s="43"/>
      <c r="P12" s="79">
        <f>Assumptions!I15</f>
        <v>33999.981274144244</v>
      </c>
      <c r="Q12" s="79"/>
      <c r="R12" s="79"/>
      <c r="S12" s="43">
        <f>Assumptions!J15</f>
        <v>36245.680037301463</v>
      </c>
      <c r="T12" s="43"/>
      <c r="U12" s="43"/>
      <c r="V12" s="79">
        <f>Assumptions!K15</f>
        <v>38639.707203765225</v>
      </c>
      <c r="W12" s="79"/>
      <c r="X12" s="79"/>
      <c r="Y12" s="43">
        <f>Assumptions!L15</f>
        <v>41191.859864573918</v>
      </c>
      <c r="Z12" s="43"/>
      <c r="AA12" s="43"/>
      <c r="AB12" s="79">
        <f>Assumptions!M15</f>
        <v>43912.582208629035</v>
      </c>
      <c r="AC12" s="79"/>
      <c r="AD12" s="79"/>
      <c r="AE12" s="43">
        <f>Assumptions!N15</f>
        <v>46813.008263508971</v>
      </c>
      <c r="AF12" s="43"/>
      <c r="AG12" s="43"/>
      <c r="AH12" s="79">
        <f>Assumptions!O15</f>
        <v>49905.007459313732</v>
      </c>
      <c r="AI12" s="79"/>
      <c r="AJ12" s="79"/>
      <c r="AK12" s="43">
        <f>Assumptions!P15</f>
        <v>53201.233202001407</v>
      </c>
      <c r="AL12" s="43"/>
      <c r="AM12" s="43"/>
      <c r="AN12" s="79">
        <f>Assumptions!Q15</f>
        <v>56715.1746549936</v>
      </c>
      <c r="AO12" s="79"/>
      <c r="AP12" s="79"/>
      <c r="AQ12" s="43">
        <f>Assumptions!R15</f>
        <v>60461.211940955931</v>
      </c>
      <c r="AR12" s="43"/>
      <c r="AS12" s="43"/>
      <c r="AT12" s="79">
        <f>Assumptions!S15</f>
        <v>64454.674989656058</v>
      </c>
      <c r="AU12" s="79"/>
      <c r="AV12" s="79"/>
      <c r="AW12" s="43">
        <f>Assumptions!T15</f>
        <v>68711.906272722845</v>
      </c>
      <c r="AX12" s="43"/>
      <c r="AY12" s="43"/>
      <c r="AZ12" s="87">
        <f>Assumptions!U15</f>
        <v>78133.682860838613</v>
      </c>
      <c r="BA12" s="70"/>
      <c r="BB12" s="63"/>
    </row>
    <row r="13" spans="1:54" x14ac:dyDescent="0.25">
      <c r="A13" s="30" t="s">
        <v>131</v>
      </c>
      <c r="B13" s="12"/>
      <c r="C13" s="12"/>
      <c r="D13" s="79">
        <f>Assumptions!E25</f>
        <v>7425</v>
      </c>
      <c r="E13" s="79"/>
      <c r="F13" s="79"/>
      <c r="G13" s="43">
        <f>Assumptions!F25</f>
        <v>7915.4212500000003</v>
      </c>
      <c r="H13" s="43"/>
      <c r="I13" s="43"/>
      <c r="J13" s="79">
        <f>Assumptions!G25</f>
        <v>8438.2348235624995</v>
      </c>
      <c r="K13" s="79"/>
      <c r="L13" s="79"/>
      <c r="M13" s="43">
        <f>Assumptions!H25</f>
        <v>8995.5802336588022</v>
      </c>
      <c r="N13" s="43"/>
      <c r="O13" s="43"/>
      <c r="P13" s="79">
        <f>Assumptions!I25</f>
        <v>9589.7383080919662</v>
      </c>
      <c r="Q13" s="79"/>
      <c r="R13" s="79"/>
      <c r="S13" s="43">
        <f>Assumptions!J25</f>
        <v>10223.140523341439</v>
      </c>
      <c r="T13" s="43"/>
      <c r="U13" s="43"/>
      <c r="V13" s="79">
        <f>Assumptions!K25</f>
        <v>10898.378954908141</v>
      </c>
      <c r="W13" s="79"/>
      <c r="X13" s="79"/>
      <c r="Y13" s="43">
        <f>Assumptions!L25</f>
        <v>11618.216884879823</v>
      </c>
      <c r="Z13" s="43"/>
      <c r="AA13" s="43"/>
      <c r="AB13" s="79">
        <f>Assumptions!M25</f>
        <v>12385.600110126137</v>
      </c>
      <c r="AC13" s="79"/>
      <c r="AD13" s="79"/>
      <c r="AE13" s="43">
        <f>Assumptions!N25</f>
        <v>13203.668997399966</v>
      </c>
      <c r="AF13" s="43"/>
      <c r="AG13" s="43"/>
      <c r="AH13" s="79">
        <f>Assumptions!O25</f>
        <v>14075.771334678233</v>
      </c>
      <c r="AI13" s="79"/>
      <c r="AJ13" s="79"/>
      <c r="AK13" s="43">
        <f>Assumptions!P25</f>
        <v>15005.476031333728</v>
      </c>
      <c r="AL13" s="43"/>
      <c r="AM13" s="43"/>
      <c r="AN13" s="79">
        <f>Assumptions!Q25</f>
        <v>15996.587723203322</v>
      </c>
      <c r="AO13" s="79"/>
      <c r="AP13" s="79"/>
      <c r="AQ13" s="43">
        <f>Assumptions!R25</f>
        <v>17053.162342320902</v>
      </c>
      <c r="AR13" s="43"/>
      <c r="AS13" s="43"/>
      <c r="AT13" s="79">
        <f>Assumptions!S25</f>
        <v>18179.523715031195</v>
      </c>
      <c r="AU13" s="79"/>
      <c r="AV13" s="79"/>
      <c r="AW13" s="43">
        <f>Assumptions!T25</f>
        <v>19380.281256409009</v>
      </c>
      <c r="AX13" s="43"/>
      <c r="AY13" s="43"/>
      <c r="AZ13" s="87">
        <f>Assumptions!U25</f>
        <v>22037.705422287814</v>
      </c>
      <c r="BA13" s="70"/>
      <c r="BB13" s="63"/>
    </row>
    <row r="14" spans="1:54" x14ac:dyDescent="0.25">
      <c r="A14" s="31" t="s">
        <v>132</v>
      </c>
      <c r="B14" s="12"/>
      <c r="C14" s="12"/>
      <c r="D14" s="101">
        <f>SUM(D10:D13)</f>
        <v>93150</v>
      </c>
      <c r="E14" s="101"/>
      <c r="F14" s="101"/>
      <c r="G14" s="102">
        <f t="shared" ref="G14:M14" si="3">SUM(G10:G13)</f>
        <v>99302.557499999995</v>
      </c>
      <c r="H14" s="102"/>
      <c r="I14" s="102"/>
      <c r="J14" s="101">
        <f t="shared" si="3"/>
        <v>105861.49142287498</v>
      </c>
      <c r="K14" s="101"/>
      <c r="L14" s="101"/>
      <c r="M14" s="102">
        <f t="shared" si="3"/>
        <v>112853.64293135589</v>
      </c>
      <c r="N14" s="102"/>
      <c r="O14" s="102"/>
      <c r="P14" s="101">
        <f t="shared" ref="P14:AZ14" si="4">SUM(P10:P13)</f>
        <v>120307.62604697194</v>
      </c>
      <c r="Q14" s="101"/>
      <c r="R14" s="101"/>
      <c r="S14" s="102">
        <f t="shared" si="4"/>
        <v>128253.94474737441</v>
      </c>
      <c r="T14" s="102"/>
      <c r="U14" s="102"/>
      <c r="V14" s="101">
        <f t="shared" si="4"/>
        <v>136725.1177979385</v>
      </c>
      <c r="W14" s="101"/>
      <c r="X14" s="101"/>
      <c r="Y14" s="102">
        <f t="shared" si="4"/>
        <v>145755.81182849235</v>
      </c>
      <c r="Z14" s="102"/>
      <c r="AA14" s="102"/>
      <c r="AB14" s="101">
        <f t="shared" si="4"/>
        <v>155382.98319976428</v>
      </c>
      <c r="AC14" s="101"/>
      <c r="AD14" s="101"/>
      <c r="AE14" s="102">
        <f t="shared" si="4"/>
        <v>165646.02924010865</v>
      </c>
      <c r="AF14" s="102"/>
      <c r="AG14" s="102"/>
      <c r="AH14" s="101">
        <f t="shared" si="4"/>
        <v>176586.94947141781</v>
      </c>
      <c r="AI14" s="101"/>
      <c r="AJ14" s="101"/>
      <c r="AK14" s="102">
        <f t="shared" si="4"/>
        <v>188250.51748400496</v>
      </c>
      <c r="AL14" s="102"/>
      <c r="AM14" s="102"/>
      <c r="AN14" s="101">
        <f t="shared" si="4"/>
        <v>200684.46416382349</v>
      </c>
      <c r="AO14" s="101"/>
      <c r="AP14" s="101"/>
      <c r="AQ14" s="102">
        <f t="shared" si="4"/>
        <v>213939.67302184404</v>
      </c>
      <c r="AR14" s="102"/>
      <c r="AS14" s="102"/>
      <c r="AT14" s="101">
        <f t="shared" si="4"/>
        <v>228070.3884249368</v>
      </c>
      <c r="AU14" s="101"/>
      <c r="AV14" s="101"/>
      <c r="AW14" s="102">
        <f t="shared" si="4"/>
        <v>243134.43758040393</v>
      </c>
      <c r="AX14" s="102"/>
      <c r="AY14" s="102"/>
      <c r="AZ14" s="104">
        <f t="shared" si="4"/>
        <v>276473.03166142892</v>
      </c>
      <c r="BA14" s="70"/>
      <c r="BB14" s="63"/>
    </row>
    <row r="15" spans="1:54" x14ac:dyDescent="0.25">
      <c r="A15" s="33" t="s">
        <v>10</v>
      </c>
      <c r="B15" s="12"/>
      <c r="C15" s="12"/>
      <c r="D15" s="63">
        <f>D7-D14</f>
        <v>28350</v>
      </c>
      <c r="E15" s="63"/>
      <c r="F15" s="63"/>
      <c r="G15" s="32">
        <f t="shared" ref="G15:M15" si="5">G7-G14</f>
        <v>30222.517500000002</v>
      </c>
      <c r="H15" s="32"/>
      <c r="I15" s="32"/>
      <c r="J15" s="63">
        <f t="shared" si="5"/>
        <v>32218.714780875001</v>
      </c>
      <c r="K15" s="63"/>
      <c r="L15" s="63"/>
      <c r="M15" s="32">
        <f t="shared" si="5"/>
        <v>34346.760892151797</v>
      </c>
      <c r="N15" s="32"/>
      <c r="O15" s="32"/>
      <c r="P15" s="63">
        <f t="shared" ref="P15:AZ15" si="6">P7-P14</f>
        <v>36615.364449078421</v>
      </c>
      <c r="Q15" s="63"/>
      <c r="R15" s="63"/>
      <c r="S15" s="32">
        <f t="shared" si="6"/>
        <v>39033.809270940037</v>
      </c>
      <c r="T15" s="32"/>
      <c r="U15" s="32"/>
      <c r="V15" s="63">
        <f t="shared" si="6"/>
        <v>41611.992373285611</v>
      </c>
      <c r="W15" s="63"/>
      <c r="X15" s="63"/>
      <c r="Y15" s="32">
        <f t="shared" si="6"/>
        <v>44360.464469541126</v>
      </c>
      <c r="Z15" s="32"/>
      <c r="AA15" s="32"/>
      <c r="AB15" s="63">
        <f t="shared" si="6"/>
        <v>47290.473147754325</v>
      </c>
      <c r="AC15" s="63"/>
      <c r="AD15" s="63"/>
      <c r="AE15" s="32">
        <f t="shared" si="6"/>
        <v>50414.008899163513</v>
      </c>
      <c r="AF15" s="32"/>
      <c r="AG15" s="32"/>
      <c r="AH15" s="63">
        <f t="shared" si="6"/>
        <v>53743.854186953249</v>
      </c>
      <c r="AI15" s="63"/>
      <c r="AJ15" s="63"/>
      <c r="AK15" s="32">
        <f t="shared" si="6"/>
        <v>57293.635756001517</v>
      </c>
      <c r="AL15" s="32"/>
      <c r="AM15" s="32"/>
      <c r="AN15" s="63">
        <f t="shared" si="6"/>
        <v>61077.880397685396</v>
      </c>
      <c r="AO15" s="63"/>
      <c r="AP15" s="63"/>
      <c r="AQ15" s="32">
        <f t="shared" si="6"/>
        <v>65112.074397952558</v>
      </c>
      <c r="AR15" s="32"/>
      <c r="AS15" s="32"/>
      <c r="AT15" s="63">
        <f t="shared" si="6"/>
        <v>69412.726911937294</v>
      </c>
      <c r="AU15" s="63"/>
      <c r="AV15" s="63"/>
      <c r="AW15" s="32">
        <f t="shared" si="6"/>
        <v>73997.437524470733</v>
      </c>
      <c r="AX15" s="32"/>
      <c r="AY15" s="32"/>
      <c r="AZ15" s="70">
        <f t="shared" si="6"/>
        <v>84143.966157826188</v>
      </c>
      <c r="BA15" s="70"/>
      <c r="BB15" s="63"/>
    </row>
    <row r="16" spans="1:54" x14ac:dyDescent="0.25">
      <c r="A16" s="34"/>
      <c r="B16" s="12"/>
      <c r="C16" s="12"/>
      <c r="D16" s="62"/>
      <c r="E16" s="62"/>
      <c r="F16" s="62"/>
      <c r="G16" s="12"/>
      <c r="H16" s="12"/>
      <c r="I16" s="12"/>
      <c r="J16" s="62"/>
      <c r="K16" s="62"/>
      <c r="L16" s="62"/>
      <c r="M16" s="12"/>
      <c r="N16" s="12"/>
      <c r="O16" s="12"/>
      <c r="P16" s="62"/>
      <c r="Q16" s="62"/>
      <c r="R16" s="62"/>
      <c r="S16" s="12"/>
      <c r="T16" s="12"/>
      <c r="U16" s="12"/>
      <c r="V16" s="62"/>
      <c r="W16" s="62"/>
      <c r="X16" s="62"/>
      <c r="Y16" s="12"/>
      <c r="Z16" s="12"/>
      <c r="AA16" s="12"/>
      <c r="AB16" s="62"/>
      <c r="AC16" s="62"/>
      <c r="AD16" s="62"/>
      <c r="AE16" s="12"/>
      <c r="AF16" s="12"/>
      <c r="AG16" s="12"/>
      <c r="AH16" s="62"/>
      <c r="AI16" s="62"/>
      <c r="AJ16" s="62"/>
      <c r="AK16" s="12"/>
      <c r="AL16" s="12"/>
      <c r="AM16" s="12"/>
      <c r="AN16" s="62"/>
      <c r="AO16" s="62"/>
      <c r="AP16" s="62"/>
      <c r="AQ16" s="12"/>
      <c r="AR16" s="12"/>
      <c r="AS16" s="12"/>
      <c r="AT16" s="62"/>
      <c r="AU16" s="62"/>
      <c r="AV16" s="62"/>
      <c r="AW16" s="12"/>
      <c r="AX16" s="12"/>
      <c r="AY16" s="12"/>
      <c r="AZ16" s="69"/>
      <c r="BA16" s="69"/>
      <c r="BB16" s="62"/>
    </row>
    <row r="17" spans="1:54" x14ac:dyDescent="0.25">
      <c r="A17" s="30" t="s">
        <v>11</v>
      </c>
      <c r="B17" s="12"/>
      <c r="C17" s="12"/>
      <c r="D17" s="63">
        <f>Assumptions!E29</f>
        <v>11950</v>
      </c>
      <c r="E17" s="63"/>
      <c r="F17" s="63"/>
      <c r="G17" s="32">
        <f>Assumptions!F29</f>
        <v>11950</v>
      </c>
      <c r="H17" s="32"/>
      <c r="I17" s="32"/>
      <c r="J17" s="63">
        <f>Assumptions!G29</f>
        <v>11950</v>
      </c>
      <c r="K17" s="63"/>
      <c r="L17" s="63"/>
      <c r="M17" s="32">
        <f>Assumptions!H29</f>
        <v>11950</v>
      </c>
      <c r="N17" s="32"/>
      <c r="O17" s="32"/>
      <c r="P17" s="63">
        <f>Assumptions!I29</f>
        <v>11950</v>
      </c>
      <c r="Q17" s="63"/>
      <c r="R17" s="63"/>
      <c r="S17" s="32">
        <f>Assumptions!J29</f>
        <v>11950</v>
      </c>
      <c r="T17" s="32"/>
      <c r="U17" s="32"/>
      <c r="V17" s="63">
        <f>Assumptions!K29</f>
        <v>11950</v>
      </c>
      <c r="W17" s="63"/>
      <c r="X17" s="63"/>
      <c r="Y17" s="32">
        <f>Assumptions!L29</f>
        <v>11950</v>
      </c>
      <c r="Z17" s="32"/>
      <c r="AA17" s="32"/>
      <c r="AB17" s="63">
        <f>Assumptions!M29</f>
        <v>11950</v>
      </c>
      <c r="AC17" s="63"/>
      <c r="AD17" s="63"/>
      <c r="AE17" s="32">
        <f>Assumptions!N29</f>
        <v>11950</v>
      </c>
      <c r="AF17" s="32"/>
      <c r="AG17" s="32"/>
      <c r="AH17" s="63">
        <f>Assumptions!O29</f>
        <v>11950</v>
      </c>
      <c r="AI17" s="63"/>
      <c r="AJ17" s="63"/>
      <c r="AK17" s="32">
        <f>Assumptions!P29</f>
        <v>11950</v>
      </c>
      <c r="AL17" s="32"/>
      <c r="AM17" s="32"/>
      <c r="AN17" s="63">
        <f>Assumptions!Q29</f>
        <v>11950</v>
      </c>
      <c r="AO17" s="63"/>
      <c r="AP17" s="63"/>
      <c r="AQ17" s="32">
        <f>Assumptions!R29</f>
        <v>11950</v>
      </c>
      <c r="AR17" s="32"/>
      <c r="AS17" s="32"/>
      <c r="AT17" s="63">
        <f>Assumptions!S29</f>
        <v>11950</v>
      </c>
      <c r="AU17" s="63"/>
      <c r="AV17" s="63"/>
      <c r="AW17" s="32">
        <f>Assumptions!T29</f>
        <v>11950</v>
      </c>
      <c r="AX17" s="32"/>
      <c r="AY17" s="32"/>
      <c r="AZ17" s="70">
        <f>Assumptions!U29</f>
        <v>11950</v>
      </c>
      <c r="BA17" s="70"/>
      <c r="BB17" s="63"/>
    </row>
    <row r="18" spans="1:54" s="22" customFormat="1" x14ac:dyDescent="0.25">
      <c r="A18" s="35" t="s">
        <v>12</v>
      </c>
      <c r="B18" s="36"/>
      <c r="C18" s="36"/>
      <c r="D18" s="79">
        <f>Mortgage!D14</f>
        <v>8179.6142757106927</v>
      </c>
      <c r="E18" s="79"/>
      <c r="F18" s="79"/>
      <c r="G18" s="98">
        <f>Mortgage!D28</f>
        <v>7815.9669782139754</v>
      </c>
      <c r="H18" s="98"/>
      <c r="I18" s="98"/>
      <c r="J18" s="79">
        <f>Mortgage!D42</f>
        <v>7429.890711117223</v>
      </c>
      <c r="K18" s="79"/>
      <c r="L18" s="79"/>
      <c r="M18" s="98">
        <f>Mortgage!D56</f>
        <v>7020.0021046531292</v>
      </c>
      <c r="N18" s="98"/>
      <c r="O18" s="98"/>
      <c r="P18" s="79">
        <f>Mortgage!D70</f>
        <v>6584.8324658341407</v>
      </c>
      <c r="Q18" s="79"/>
      <c r="R18" s="79"/>
      <c r="S18" s="98">
        <f>Mortgage!D84</f>
        <v>6122.8225159029334</v>
      </c>
      <c r="T18" s="98"/>
      <c r="U18" s="98"/>
      <c r="V18" s="79">
        <f>Mortgage!D98</f>
        <v>5632.3168032003414</v>
      </c>
      <c r="W18" s="79"/>
      <c r="X18" s="79"/>
      <c r="Y18" s="98">
        <f>Mortgage!D112</f>
        <v>5111.5577714312158</v>
      </c>
      <c r="Z18" s="98"/>
      <c r="AA18" s="98"/>
      <c r="AB18" s="79">
        <f>Mortgage!D126</f>
        <v>4558.6794620738965</v>
      </c>
      <c r="AC18" s="79"/>
      <c r="AD18" s="79"/>
      <c r="AE18" s="98">
        <f>Mortgage!D140</f>
        <v>3971.7008283680743</v>
      </c>
      <c r="AF18" s="98"/>
      <c r="AG18" s="98"/>
      <c r="AH18" s="79">
        <f>Mortgage!D154</f>
        <v>3348.5186369240614</v>
      </c>
      <c r="AI18" s="79"/>
      <c r="AJ18" s="79"/>
      <c r="AK18" s="98">
        <f>Mortgage!D168</f>
        <v>2686.8999315188598</v>
      </c>
      <c r="AL18" s="98"/>
      <c r="AM18" s="98"/>
      <c r="AN18" s="79">
        <f>Mortgage!D182</f>
        <v>1984.4740320756414</v>
      </c>
      <c r="AO18" s="79"/>
      <c r="AP18" s="79"/>
      <c r="AQ18" s="98">
        <f>Mortgage!D196</f>
        <v>1238.7240401578126</v>
      </c>
      <c r="AR18" s="98"/>
      <c r="AS18" s="98"/>
      <c r="AT18" s="79">
        <f>Mortgage!D210</f>
        <v>446.97782054052396</v>
      </c>
      <c r="AU18" s="79"/>
      <c r="AV18" s="79"/>
      <c r="AW18" s="98">
        <f>Mortgage!D211</f>
        <v>0</v>
      </c>
      <c r="AX18" s="98"/>
      <c r="AY18" s="98"/>
      <c r="AZ18" s="87">
        <f>Mortgage!D212</f>
        <v>0</v>
      </c>
      <c r="BA18" s="83"/>
      <c r="BB18" s="76"/>
    </row>
    <row r="19" spans="1:54" s="22" customFormat="1" x14ac:dyDescent="0.25">
      <c r="A19" s="35" t="s">
        <v>13</v>
      </c>
      <c r="B19" s="36"/>
      <c r="C19" s="36"/>
      <c r="D19" s="101">
        <f ca="1">D46*Assumptions!$C$35</f>
        <v>0</v>
      </c>
      <c r="E19" s="101"/>
      <c r="F19" s="101"/>
      <c r="G19" s="103">
        <f ca="1">G46*Assumptions!$C$35</f>
        <v>0</v>
      </c>
      <c r="H19" s="103"/>
      <c r="I19" s="103"/>
      <c r="J19" s="101">
        <f ca="1">J46*Assumptions!$C$35</f>
        <v>0</v>
      </c>
      <c r="K19" s="101"/>
      <c r="L19" s="101"/>
      <c r="M19" s="103">
        <f ca="1">M46*Assumptions!$C$35</f>
        <v>0</v>
      </c>
      <c r="N19" s="103"/>
      <c r="O19" s="103"/>
      <c r="P19" s="101">
        <f ca="1">P46*Assumptions!$C$35</f>
        <v>0</v>
      </c>
      <c r="Q19" s="101"/>
      <c r="R19" s="101"/>
      <c r="S19" s="103">
        <f ca="1">S46*Assumptions!$C$35</f>
        <v>0</v>
      </c>
      <c r="T19" s="103"/>
      <c r="U19" s="103"/>
      <c r="V19" s="101">
        <f ca="1">V46*Assumptions!$C$35</f>
        <v>0</v>
      </c>
      <c r="W19" s="101"/>
      <c r="X19" s="101"/>
      <c r="Y19" s="103">
        <f ca="1">Y46*Assumptions!$C$35</f>
        <v>0</v>
      </c>
      <c r="Z19" s="103"/>
      <c r="AA19" s="103"/>
      <c r="AB19" s="101">
        <f ca="1">AB46*Assumptions!$C$35</f>
        <v>0</v>
      </c>
      <c r="AC19" s="101"/>
      <c r="AD19" s="101"/>
      <c r="AE19" s="103">
        <f ca="1">AE46*Assumptions!$C$35</f>
        <v>0</v>
      </c>
      <c r="AF19" s="103"/>
      <c r="AG19" s="103"/>
      <c r="AH19" s="101">
        <f ca="1">AH46*Assumptions!$C$35</f>
        <v>0</v>
      </c>
      <c r="AI19" s="101"/>
      <c r="AJ19" s="101"/>
      <c r="AK19" s="103">
        <f ca="1">AK46*Assumptions!$C$35</f>
        <v>0</v>
      </c>
      <c r="AL19" s="103"/>
      <c r="AM19" s="103"/>
      <c r="AN19" s="101">
        <f ca="1">AN46*Assumptions!$C$35</f>
        <v>0</v>
      </c>
      <c r="AO19" s="101"/>
      <c r="AP19" s="101"/>
      <c r="AQ19" s="103">
        <f ca="1">AQ46*Assumptions!$C$35</f>
        <v>0</v>
      </c>
      <c r="AR19" s="103"/>
      <c r="AS19" s="103"/>
      <c r="AT19" s="101">
        <f ca="1">AT46*Assumptions!$C$35</f>
        <v>0</v>
      </c>
      <c r="AU19" s="101"/>
      <c r="AV19" s="101"/>
      <c r="AW19" s="103">
        <f ca="1">AW46*Assumptions!$C$35</f>
        <v>0</v>
      </c>
      <c r="AX19" s="103"/>
      <c r="AY19" s="103"/>
      <c r="AZ19" s="104">
        <f ca="1">AZ46*Assumptions!$C$35</f>
        <v>0</v>
      </c>
      <c r="BA19" s="69"/>
      <c r="BB19" s="62"/>
    </row>
    <row r="20" spans="1:54" x14ac:dyDescent="0.25">
      <c r="A20" s="31" t="s">
        <v>305</v>
      </c>
      <c r="B20" s="12"/>
      <c r="C20" s="12"/>
      <c r="D20" s="63">
        <f ca="1">D17+D18+D19</f>
        <v>20129.614275710694</v>
      </c>
      <c r="E20" s="63"/>
      <c r="F20" s="63"/>
      <c r="G20" s="32">
        <f t="shared" ref="G20:AZ20" ca="1" si="7">G17+G18+G19</f>
        <v>19765.966978213975</v>
      </c>
      <c r="H20" s="32"/>
      <c r="I20" s="32"/>
      <c r="J20" s="63">
        <f ca="1">J17+J18+J19</f>
        <v>19379.890711117223</v>
      </c>
      <c r="K20" s="63"/>
      <c r="L20" s="63"/>
      <c r="M20" s="32">
        <f t="shared" ca="1" si="7"/>
        <v>18970.002104653129</v>
      </c>
      <c r="N20" s="32"/>
      <c r="O20" s="32"/>
      <c r="P20" s="63">
        <f t="shared" ca="1" si="7"/>
        <v>18534.832465834141</v>
      </c>
      <c r="Q20" s="63"/>
      <c r="R20" s="63"/>
      <c r="S20" s="32">
        <f t="shared" ca="1" si="7"/>
        <v>18072.822515902932</v>
      </c>
      <c r="T20" s="32"/>
      <c r="U20" s="32"/>
      <c r="V20" s="63">
        <f t="shared" ca="1" si="7"/>
        <v>17582.316803200341</v>
      </c>
      <c r="W20" s="63"/>
      <c r="X20" s="63"/>
      <c r="Y20" s="32">
        <f t="shared" ca="1" si="7"/>
        <v>17061.557771431217</v>
      </c>
      <c r="Z20" s="32"/>
      <c r="AA20" s="32"/>
      <c r="AB20" s="63">
        <f t="shared" ca="1" si="7"/>
        <v>16508.679462073895</v>
      </c>
      <c r="AC20" s="63"/>
      <c r="AD20" s="63"/>
      <c r="AE20" s="32">
        <f t="shared" ca="1" si="7"/>
        <v>15921.700828368073</v>
      </c>
      <c r="AF20" s="32"/>
      <c r="AG20" s="32"/>
      <c r="AH20" s="63">
        <f t="shared" ca="1" si="7"/>
        <v>15298.518636924062</v>
      </c>
      <c r="AI20" s="63"/>
      <c r="AJ20" s="63"/>
      <c r="AK20" s="32">
        <f t="shared" ca="1" si="7"/>
        <v>14636.899931518859</v>
      </c>
      <c r="AL20" s="32"/>
      <c r="AM20" s="32"/>
      <c r="AN20" s="63">
        <f t="shared" ca="1" si="7"/>
        <v>13934.474032075641</v>
      </c>
      <c r="AO20" s="63"/>
      <c r="AP20" s="63"/>
      <c r="AQ20" s="32">
        <f t="shared" ca="1" si="7"/>
        <v>13188.724040157813</v>
      </c>
      <c r="AR20" s="32"/>
      <c r="AS20" s="32"/>
      <c r="AT20" s="63">
        <f t="shared" ca="1" si="7"/>
        <v>12396.977820540524</v>
      </c>
      <c r="AU20" s="63"/>
      <c r="AV20" s="63"/>
      <c r="AW20" s="32">
        <f t="shared" ca="1" si="7"/>
        <v>11950</v>
      </c>
      <c r="AX20" s="32"/>
      <c r="AY20" s="32"/>
      <c r="AZ20" s="70">
        <f t="shared" ca="1" si="7"/>
        <v>11950</v>
      </c>
      <c r="BA20" s="70"/>
      <c r="BB20" s="63"/>
    </row>
    <row r="21" spans="1:54" x14ac:dyDescent="0.25">
      <c r="A21" s="34"/>
      <c r="B21" s="12"/>
      <c r="C21" s="12"/>
      <c r="D21" s="62"/>
      <c r="E21" s="62"/>
      <c r="F21" s="62"/>
      <c r="G21" s="12"/>
      <c r="H21" s="12"/>
      <c r="I21" s="12"/>
      <c r="J21" s="62"/>
      <c r="K21" s="62"/>
      <c r="L21" s="62"/>
      <c r="M21" s="12"/>
      <c r="N21" s="12"/>
      <c r="O21" s="12"/>
      <c r="P21" s="62"/>
      <c r="Q21" s="62"/>
      <c r="R21" s="62"/>
      <c r="S21" s="12"/>
      <c r="T21" s="12"/>
      <c r="U21" s="12"/>
      <c r="V21" s="62"/>
      <c r="W21" s="62"/>
      <c r="X21" s="62"/>
      <c r="Y21" s="12"/>
      <c r="Z21" s="12"/>
      <c r="AA21" s="12"/>
      <c r="AB21" s="62"/>
      <c r="AC21" s="62"/>
      <c r="AD21" s="62"/>
      <c r="AE21" s="12"/>
      <c r="AF21" s="12"/>
      <c r="AG21" s="12"/>
      <c r="AH21" s="62"/>
      <c r="AI21" s="62"/>
      <c r="AJ21" s="62"/>
      <c r="AK21" s="12"/>
      <c r="AL21" s="12"/>
      <c r="AM21" s="12"/>
      <c r="AN21" s="62"/>
      <c r="AO21" s="62"/>
      <c r="AP21" s="62"/>
      <c r="AQ21" s="12"/>
      <c r="AR21" s="12"/>
      <c r="AS21" s="12"/>
      <c r="AT21" s="62"/>
      <c r="AU21" s="62"/>
      <c r="AV21" s="62"/>
      <c r="AW21" s="12"/>
      <c r="AX21" s="12"/>
      <c r="AY21" s="12"/>
      <c r="AZ21" s="69"/>
      <c r="BA21" s="69"/>
      <c r="BB21" s="62"/>
    </row>
    <row r="22" spans="1:54" x14ac:dyDescent="0.25">
      <c r="A22" s="39" t="s">
        <v>16</v>
      </c>
      <c r="B22" s="12"/>
      <c r="C22" s="12"/>
      <c r="D22" s="63">
        <f ca="1">D15-D20</f>
        <v>8220.3857242893064</v>
      </c>
      <c r="E22" s="63"/>
      <c r="F22" s="63"/>
      <c r="G22" s="32">
        <f t="shared" ref="G22:M22" ca="1" si="8">G15-G20</f>
        <v>10456.550521786026</v>
      </c>
      <c r="H22" s="32"/>
      <c r="I22" s="32"/>
      <c r="J22" s="63">
        <f t="shared" ca="1" si="8"/>
        <v>12838.824069757778</v>
      </c>
      <c r="K22" s="63"/>
      <c r="L22" s="63"/>
      <c r="M22" s="32">
        <f t="shared" ca="1" si="8"/>
        <v>15376.758787498668</v>
      </c>
      <c r="N22" s="32"/>
      <c r="O22" s="32"/>
      <c r="P22" s="63">
        <f t="shared" ref="P22:AZ22" ca="1" si="9">P15-P20</f>
        <v>18080.53198324428</v>
      </c>
      <c r="Q22" s="63"/>
      <c r="R22" s="63"/>
      <c r="S22" s="32">
        <f t="shared" ca="1" si="9"/>
        <v>20960.986755037105</v>
      </c>
      <c r="T22" s="32"/>
      <c r="U22" s="32"/>
      <c r="V22" s="63">
        <f t="shared" ca="1" si="9"/>
        <v>24029.67557008527</v>
      </c>
      <c r="W22" s="63"/>
      <c r="X22" s="63"/>
      <c r="Y22" s="32">
        <f t="shared" ca="1" si="9"/>
        <v>27298.906698109909</v>
      </c>
      <c r="Z22" s="32"/>
      <c r="AA22" s="32"/>
      <c r="AB22" s="63">
        <f t="shared" ca="1" si="9"/>
        <v>30781.79368568043</v>
      </c>
      <c r="AC22" s="63"/>
      <c r="AD22" s="63"/>
      <c r="AE22" s="32">
        <f t="shared" ca="1" si="9"/>
        <v>34492.308070795436</v>
      </c>
      <c r="AF22" s="32"/>
      <c r="AG22" s="32"/>
      <c r="AH22" s="63">
        <f ca="1">AH15-AH20</f>
        <v>38445.335550029187</v>
      </c>
      <c r="AI22" s="63"/>
      <c r="AJ22" s="63"/>
      <c r="AK22" s="32">
        <f t="shared" ca="1" si="9"/>
        <v>42656.735824482661</v>
      </c>
      <c r="AL22" s="32"/>
      <c r="AM22" s="32"/>
      <c r="AN22" s="63">
        <f t="shared" ca="1" si="9"/>
        <v>47143.406365609757</v>
      </c>
      <c r="AO22" s="63"/>
      <c r="AP22" s="63"/>
      <c r="AQ22" s="32">
        <f t="shared" ca="1" si="9"/>
        <v>51923.350357794741</v>
      </c>
      <c r="AR22" s="32"/>
      <c r="AS22" s="32"/>
      <c r="AT22" s="63">
        <f t="shared" ca="1" si="9"/>
        <v>57015.74909139677</v>
      </c>
      <c r="AU22" s="63"/>
      <c r="AV22" s="63"/>
      <c r="AW22" s="32">
        <f t="shared" ca="1" si="9"/>
        <v>62047.437524470733</v>
      </c>
      <c r="AX22" s="32"/>
      <c r="AY22" s="32"/>
      <c r="AZ22" s="70">
        <f t="shared" ca="1" si="9"/>
        <v>72193.966157826188</v>
      </c>
      <c r="BA22" s="70"/>
      <c r="BB22" s="63"/>
    </row>
    <row r="23" spans="1:54" x14ac:dyDescent="0.25">
      <c r="A23" s="30" t="s">
        <v>14</v>
      </c>
      <c r="B23" s="12"/>
      <c r="C23" s="12"/>
      <c r="D23" s="79">
        <f ca="1">IF(D22&gt;0,D22*Assumptions!$C$36,0)</f>
        <v>1644.0771448578614</v>
      </c>
      <c r="E23" s="79"/>
      <c r="F23" s="79"/>
      <c r="G23" s="43">
        <f ca="1">IF(G22&gt;0,G22*Assumptions!$C$36,0)</f>
        <v>2091.3101043572055</v>
      </c>
      <c r="H23" s="43"/>
      <c r="I23" s="43"/>
      <c r="J23" s="79">
        <f ca="1">IF(J22&gt;0,J22*Assumptions!$C$36,0)</f>
        <v>2567.7648139515559</v>
      </c>
      <c r="K23" s="79"/>
      <c r="L23" s="79"/>
      <c r="M23" s="43">
        <f ca="1">IF(M22&gt;0,M22*Assumptions!$C$36,0)</f>
        <v>3075.3517574997336</v>
      </c>
      <c r="N23" s="43"/>
      <c r="O23" s="43"/>
      <c r="P23" s="79">
        <f ca="1">IF(P22&gt;0,P22*Assumptions!$C$36,0)</f>
        <v>3616.1063966488564</v>
      </c>
      <c r="Q23" s="79"/>
      <c r="R23" s="79"/>
      <c r="S23" s="43">
        <f ca="1">IF(S22&gt;0,S22*Assumptions!$C$36,0)</f>
        <v>4192.1973510074213</v>
      </c>
      <c r="T23" s="43"/>
      <c r="U23" s="43"/>
      <c r="V23" s="79">
        <f ca="1">IF(V22&gt;0,V22*Assumptions!$C$36,0)</f>
        <v>4805.9351140170538</v>
      </c>
      <c r="W23" s="79"/>
      <c r="X23" s="79"/>
      <c r="Y23" s="43">
        <f ca="1">IF(Y22&gt;0,Y22*Assumptions!$C$36,0)</f>
        <v>5459.7813396219826</v>
      </c>
      <c r="Z23" s="43"/>
      <c r="AA23" s="43"/>
      <c r="AB23" s="79">
        <f ca="1">IF(AB22&gt;0,AB22*Assumptions!$C$36,0)</f>
        <v>6156.3587371360863</v>
      </c>
      <c r="AC23" s="79"/>
      <c r="AD23" s="79"/>
      <c r="AE23" s="43">
        <f ca="1">IF(AE22&gt;0,AE22*Assumptions!$C$36,0)</f>
        <v>6898.4616141590877</v>
      </c>
      <c r="AF23" s="43"/>
      <c r="AG23" s="43"/>
      <c r="AH23" s="79">
        <f ca="1">IF(AH22&gt;0,AH22*Assumptions!$C$36,0)</f>
        <v>7689.067110005838</v>
      </c>
      <c r="AI23" s="79"/>
      <c r="AJ23" s="79"/>
      <c r="AK23" s="43">
        <f ca="1">IF(AK22&gt;0,AK22*Assumptions!$C$36,0)</f>
        <v>8531.3471648965333</v>
      </c>
      <c r="AL23" s="43"/>
      <c r="AM23" s="43"/>
      <c r="AN23" s="79">
        <f ca="1">IF(AN22&gt;0,AN22*Assumptions!$C$36,0)</f>
        <v>9428.6812731219525</v>
      </c>
      <c r="AO23" s="79"/>
      <c r="AP23" s="79"/>
      <c r="AQ23" s="43">
        <f ca="1">IF(AQ22&gt;0,AQ22*Assumptions!$C$36,0)</f>
        <v>10384.670071558949</v>
      </c>
      <c r="AR23" s="43"/>
      <c r="AS23" s="43"/>
      <c r="AT23" s="79">
        <f ca="1">IF(AT22&gt;0,AT22*Assumptions!$C$36,0)</f>
        <v>11403.149818279355</v>
      </c>
      <c r="AU23" s="79"/>
      <c r="AV23" s="79"/>
      <c r="AW23" s="43">
        <f ca="1">IF(AW22&gt;0,AW22*Assumptions!$C$36,0)</f>
        <v>12409.487504894147</v>
      </c>
      <c r="AX23" s="43"/>
      <c r="AY23" s="43"/>
      <c r="AZ23" s="87">
        <f ca="1">IF(AZ22&gt;0,AZ22*Assumptions!$C$36,0)</f>
        <v>14438.793231565238</v>
      </c>
      <c r="BA23" s="83"/>
      <c r="BB23" s="76"/>
    </row>
    <row r="24" spans="1:54" ht="15.75" thickBot="1" x14ac:dyDescent="0.3">
      <c r="A24" s="29" t="s">
        <v>15</v>
      </c>
      <c r="B24" s="12"/>
      <c r="C24" s="12"/>
      <c r="D24" s="77">
        <f ca="1">D22-D23</f>
        <v>6576.3085794314447</v>
      </c>
      <c r="E24" s="77"/>
      <c r="F24" s="77"/>
      <c r="G24" s="24">
        <f t="shared" ref="G24:M24" ca="1" si="10">G22-G23</f>
        <v>8365.2404174288204</v>
      </c>
      <c r="H24" s="24"/>
      <c r="I24" s="24"/>
      <c r="J24" s="77">
        <f t="shared" ca="1" si="10"/>
        <v>10271.059255806224</v>
      </c>
      <c r="K24" s="77"/>
      <c r="L24" s="77"/>
      <c r="M24" s="24">
        <f t="shared" ca="1" si="10"/>
        <v>12301.407029998934</v>
      </c>
      <c r="N24" s="24"/>
      <c r="O24" s="24"/>
      <c r="P24" s="77">
        <f t="shared" ref="P24:AZ24" ca="1" si="11">P22-P23</f>
        <v>14464.425586595424</v>
      </c>
      <c r="Q24" s="77"/>
      <c r="R24" s="77"/>
      <c r="S24" s="24">
        <f t="shared" ca="1" si="11"/>
        <v>16768.789404029685</v>
      </c>
      <c r="T24" s="24"/>
      <c r="U24" s="24"/>
      <c r="V24" s="77">
        <f t="shared" ca="1" si="11"/>
        <v>19223.740456068215</v>
      </c>
      <c r="W24" s="77"/>
      <c r="X24" s="77"/>
      <c r="Y24" s="24">
        <f t="shared" ca="1" si="11"/>
        <v>21839.125358487927</v>
      </c>
      <c r="Z24" s="24"/>
      <c r="AA24" s="24"/>
      <c r="AB24" s="77">
        <f t="shared" ca="1" si="11"/>
        <v>24625.434948544345</v>
      </c>
      <c r="AC24" s="77"/>
      <c r="AD24" s="77"/>
      <c r="AE24" s="24">
        <f t="shared" ca="1" si="11"/>
        <v>27593.846456636347</v>
      </c>
      <c r="AF24" s="24"/>
      <c r="AG24" s="24"/>
      <c r="AH24" s="77">
        <f t="shared" ca="1" si="11"/>
        <v>30756.268440023348</v>
      </c>
      <c r="AI24" s="77"/>
      <c r="AJ24" s="77"/>
      <c r="AK24" s="24">
        <f t="shared" ca="1" si="11"/>
        <v>34125.388659586126</v>
      </c>
      <c r="AL24" s="24"/>
      <c r="AM24" s="24"/>
      <c r="AN24" s="77">
        <f t="shared" ca="1" si="11"/>
        <v>37714.725092487803</v>
      </c>
      <c r="AO24" s="77"/>
      <c r="AP24" s="77"/>
      <c r="AQ24" s="24">
        <f t="shared" ca="1" si="11"/>
        <v>41538.680286235794</v>
      </c>
      <c r="AR24" s="24"/>
      <c r="AS24" s="24"/>
      <c r="AT24" s="77">
        <f t="shared" ca="1" si="11"/>
        <v>45612.599273117419</v>
      </c>
      <c r="AU24" s="77"/>
      <c r="AV24" s="77"/>
      <c r="AW24" s="24">
        <f t="shared" ca="1" si="11"/>
        <v>49637.950019576587</v>
      </c>
      <c r="AX24" s="24"/>
      <c r="AY24" s="24"/>
      <c r="AZ24" s="84">
        <f t="shared" ca="1" si="11"/>
        <v>57755.172926260951</v>
      </c>
      <c r="BA24" s="70"/>
      <c r="BB24" s="63"/>
    </row>
    <row r="25" spans="1:54" ht="15.75" thickTop="1" x14ac:dyDescent="0.25">
      <c r="A25" s="28"/>
      <c r="B25" s="11"/>
      <c r="C25" s="11"/>
      <c r="D25" s="67"/>
      <c r="E25" s="67"/>
      <c r="F25" s="67"/>
      <c r="G25" s="11"/>
      <c r="H25" s="11"/>
      <c r="I25" s="11"/>
      <c r="J25" s="67"/>
      <c r="K25" s="67"/>
      <c r="L25" s="67"/>
      <c r="M25" s="11"/>
      <c r="N25" s="11"/>
      <c r="O25" s="11"/>
      <c r="P25" s="67"/>
      <c r="Q25" s="67"/>
      <c r="R25" s="67"/>
      <c r="S25" s="11"/>
      <c r="T25" s="11"/>
      <c r="U25" s="11"/>
      <c r="V25" s="67"/>
      <c r="W25" s="67"/>
      <c r="X25" s="67"/>
      <c r="Y25" s="11"/>
      <c r="Z25" s="11"/>
      <c r="AA25" s="11"/>
      <c r="AB25" s="67"/>
      <c r="AC25" s="67"/>
      <c r="AD25" s="67"/>
      <c r="AE25" s="11"/>
      <c r="AF25" s="11"/>
      <c r="AG25" s="11"/>
      <c r="AH25" s="67"/>
      <c r="AI25" s="67"/>
      <c r="AJ25" s="67"/>
      <c r="AK25" s="11"/>
      <c r="AL25" s="11"/>
      <c r="AM25" s="11"/>
      <c r="AN25" s="67"/>
      <c r="AO25" s="67"/>
      <c r="AP25" s="67"/>
      <c r="AQ25" s="11"/>
      <c r="AR25" s="11"/>
      <c r="AS25" s="11"/>
      <c r="AT25" s="67"/>
      <c r="AU25" s="67"/>
      <c r="AV25" s="67"/>
      <c r="AW25" s="11"/>
      <c r="AX25" s="11"/>
      <c r="AY25" s="11"/>
      <c r="AZ25" s="74"/>
      <c r="BA25" s="69"/>
      <c r="BB25" s="62"/>
    </row>
    <row r="26" spans="1:54" x14ac:dyDescent="0.25">
      <c r="A26" s="34" t="s">
        <v>17</v>
      </c>
      <c r="B26" s="12"/>
      <c r="C26" s="12"/>
      <c r="D26" s="62"/>
      <c r="E26" s="62"/>
      <c r="F26" s="62"/>
      <c r="G26" s="12"/>
      <c r="H26" s="12"/>
      <c r="I26" s="12"/>
      <c r="J26" s="62"/>
      <c r="K26" s="62"/>
      <c r="L26" s="62"/>
      <c r="M26" s="12"/>
      <c r="N26" s="12"/>
      <c r="O26" s="12"/>
      <c r="P26" s="62"/>
      <c r="Q26" s="62"/>
      <c r="R26" s="62"/>
      <c r="S26" s="12"/>
      <c r="T26" s="12"/>
      <c r="U26" s="12"/>
      <c r="V26" s="62"/>
      <c r="W26" s="62"/>
      <c r="X26" s="62"/>
      <c r="Y26" s="12"/>
      <c r="Z26" s="12"/>
      <c r="AA26" s="12"/>
      <c r="AB26" s="62"/>
      <c r="AC26" s="62"/>
      <c r="AD26" s="62"/>
      <c r="AE26" s="12"/>
      <c r="AF26" s="12"/>
      <c r="AG26" s="12"/>
      <c r="AH26" s="62"/>
      <c r="AI26" s="62"/>
      <c r="AJ26" s="62"/>
      <c r="AK26" s="12"/>
      <c r="AL26" s="12"/>
      <c r="AM26" s="12"/>
      <c r="AN26" s="62"/>
      <c r="AO26" s="62"/>
      <c r="AP26" s="62"/>
      <c r="AQ26" s="12"/>
      <c r="AR26" s="12"/>
      <c r="AS26" s="12"/>
      <c r="AT26" s="62"/>
      <c r="AU26" s="62"/>
      <c r="AV26" s="62"/>
      <c r="AW26" s="12"/>
      <c r="AX26" s="12"/>
      <c r="AY26" s="12"/>
      <c r="AZ26" s="69"/>
      <c r="BA26" s="69"/>
      <c r="BB26" s="62"/>
    </row>
    <row r="27" spans="1:54" x14ac:dyDescent="0.25">
      <c r="A27" s="41" t="s">
        <v>18</v>
      </c>
      <c r="B27" s="17"/>
      <c r="C27" s="17"/>
      <c r="D27" s="78">
        <v>2012</v>
      </c>
      <c r="E27" s="78"/>
      <c r="F27" s="78"/>
      <c r="G27" s="17">
        <v>2013</v>
      </c>
      <c r="H27" s="17"/>
      <c r="I27" s="17"/>
      <c r="J27" s="78">
        <v>2014</v>
      </c>
      <c r="K27" s="78"/>
      <c r="L27" s="78"/>
      <c r="M27" s="17">
        <v>2015</v>
      </c>
      <c r="N27" s="17"/>
      <c r="O27" s="17"/>
      <c r="P27" s="78">
        <v>2016</v>
      </c>
      <c r="Q27" s="78"/>
      <c r="R27" s="78"/>
      <c r="S27" s="17">
        <v>2017</v>
      </c>
      <c r="T27" s="17"/>
      <c r="U27" s="17"/>
      <c r="V27" s="78">
        <v>2018</v>
      </c>
      <c r="W27" s="78"/>
      <c r="X27" s="78"/>
      <c r="Y27" s="17">
        <v>2019</v>
      </c>
      <c r="Z27" s="17"/>
      <c r="AA27" s="17"/>
      <c r="AB27" s="78">
        <v>2020</v>
      </c>
      <c r="AC27" s="78"/>
      <c r="AD27" s="78"/>
      <c r="AE27" s="17">
        <v>2021</v>
      </c>
      <c r="AF27" s="17"/>
      <c r="AG27" s="17"/>
      <c r="AH27" s="78">
        <v>2022</v>
      </c>
      <c r="AI27" s="78"/>
      <c r="AJ27" s="78"/>
      <c r="AK27" s="17">
        <v>2023</v>
      </c>
      <c r="AL27" s="17"/>
      <c r="AM27" s="17"/>
      <c r="AN27" s="78">
        <v>2024</v>
      </c>
      <c r="AO27" s="78"/>
      <c r="AP27" s="78"/>
      <c r="AQ27" s="17">
        <v>2025</v>
      </c>
      <c r="AR27" s="17"/>
      <c r="AS27" s="17"/>
      <c r="AT27" s="78">
        <v>2026</v>
      </c>
      <c r="AU27" s="78"/>
      <c r="AV27" s="78"/>
      <c r="AW27" s="17">
        <v>2027</v>
      </c>
      <c r="AX27" s="17"/>
      <c r="AY27" s="17"/>
      <c r="AZ27" s="85">
        <v>2028</v>
      </c>
      <c r="BA27" s="100"/>
      <c r="BB27" s="99"/>
    </row>
    <row r="28" spans="1:54" x14ac:dyDescent="0.25">
      <c r="A28" s="29" t="s">
        <v>19</v>
      </c>
      <c r="B28" s="12"/>
      <c r="C28" s="12"/>
      <c r="D28" s="62"/>
      <c r="E28" s="62"/>
      <c r="F28" s="62"/>
      <c r="G28" s="12"/>
      <c r="H28" s="12"/>
      <c r="I28" s="12"/>
      <c r="J28" s="62"/>
      <c r="K28" s="62"/>
      <c r="L28" s="62"/>
      <c r="M28" s="12"/>
      <c r="N28" s="12"/>
      <c r="O28" s="12"/>
      <c r="P28" s="62"/>
      <c r="Q28" s="62"/>
      <c r="R28" s="62"/>
      <c r="S28" s="12"/>
      <c r="T28" s="12"/>
      <c r="U28" s="12"/>
      <c r="V28" s="62"/>
      <c r="W28" s="62"/>
      <c r="X28" s="62"/>
      <c r="Y28" s="12"/>
      <c r="Z28" s="12"/>
      <c r="AA28" s="12"/>
      <c r="AB28" s="62"/>
      <c r="AC28" s="62"/>
      <c r="AD28" s="62"/>
      <c r="AE28" s="12"/>
      <c r="AF28" s="12"/>
      <c r="AG28" s="12"/>
      <c r="AH28" s="62"/>
      <c r="AI28" s="62"/>
      <c r="AJ28" s="62"/>
      <c r="AK28" s="12"/>
      <c r="AL28" s="12"/>
      <c r="AM28" s="12"/>
      <c r="AN28" s="62"/>
      <c r="AO28" s="62"/>
      <c r="AP28" s="62"/>
      <c r="AQ28" s="12"/>
      <c r="AR28" s="12"/>
      <c r="AS28" s="12"/>
      <c r="AT28" s="62"/>
      <c r="AU28" s="62"/>
      <c r="AV28" s="62"/>
      <c r="AW28" s="12"/>
      <c r="AX28" s="12"/>
      <c r="AY28" s="12"/>
      <c r="AZ28" s="69"/>
      <c r="BA28" s="69"/>
      <c r="BB28" s="62"/>
    </row>
    <row r="29" spans="1:54" x14ac:dyDescent="0.25">
      <c r="A29" s="30" t="s">
        <v>20</v>
      </c>
      <c r="B29" s="12"/>
      <c r="C29" s="12"/>
      <c r="D29" s="63"/>
      <c r="E29" s="62"/>
      <c r="F29" s="62"/>
      <c r="G29" s="32"/>
      <c r="H29" s="12"/>
      <c r="I29" s="12"/>
      <c r="J29" s="143"/>
      <c r="K29" s="62"/>
      <c r="L29" s="62"/>
      <c r="M29" s="32"/>
      <c r="N29" s="12"/>
      <c r="O29" s="12"/>
      <c r="P29" s="63"/>
      <c r="Q29" s="62"/>
      <c r="R29" s="62"/>
      <c r="S29" s="32"/>
      <c r="T29" s="12"/>
      <c r="U29" s="12"/>
      <c r="V29" s="63"/>
      <c r="W29" s="62"/>
      <c r="X29" s="62"/>
      <c r="Y29" s="32"/>
      <c r="Z29" s="12"/>
      <c r="AA29" s="12"/>
      <c r="AB29" s="63"/>
      <c r="AC29" s="62"/>
      <c r="AD29" s="62"/>
      <c r="AE29" s="32"/>
      <c r="AF29" s="12"/>
      <c r="AG29" s="12"/>
      <c r="AH29" s="63"/>
      <c r="AI29" s="62"/>
      <c r="AJ29" s="62"/>
      <c r="AK29" s="32"/>
      <c r="AL29" s="12"/>
      <c r="AM29" s="12"/>
      <c r="AN29" s="63"/>
      <c r="AO29" s="62"/>
      <c r="AP29" s="62"/>
      <c r="AQ29" s="32"/>
      <c r="AR29" s="12"/>
      <c r="AS29" s="12"/>
      <c r="AT29" s="63"/>
      <c r="AU29" s="62"/>
      <c r="AV29" s="62"/>
      <c r="AW29" s="32"/>
      <c r="AX29" s="12"/>
      <c r="AY29" s="12"/>
      <c r="AZ29" s="70"/>
      <c r="BA29" s="69"/>
      <c r="BB29" s="62"/>
    </row>
    <row r="30" spans="1:54" s="22" customFormat="1" x14ac:dyDescent="0.25">
      <c r="A30" s="42" t="s">
        <v>21</v>
      </c>
      <c r="B30" s="36"/>
      <c r="C30" s="36"/>
      <c r="D30" s="76">
        <f ca="1">IF(E53&lt;0,IF(ABS(E53)&lt;Assumptions!$C$37,Assumptions!$C$37,ABS('Financial Statements'!F53)),IF(ABS(F53)&lt;Assumptions!$C$37,Assumptions!$C$37,'Financial Statements'!F53))</f>
        <v>15226.968108151865</v>
      </c>
      <c r="E30" s="76">
        <f ca="1">IF(D30=Assumptions!$C$37,Assumptions!$C$37,0)</f>
        <v>0</v>
      </c>
      <c r="F30" s="76"/>
      <c r="G30" s="32">
        <f ca="1">IF(H53&lt;0,IF(ABS(H53)&lt;Assumptions!$C$37,Assumptions!$C$37,ABS('Financial Statements'!I53)),IF(ABS(I53)&lt;Assumptions!$C$37,Assumptions!$C$37,'Financial Statements'!I53))</f>
        <v>23216.4806170144</v>
      </c>
      <c r="H30" s="37">
        <f ca="1">IF(G30=Assumptions!$C$37,Assumptions!$C$37,0)</f>
        <v>0</v>
      </c>
      <c r="I30" s="37"/>
      <c r="J30" s="76">
        <f ca="1">IF(K53&lt;0,IF(ABS(K53)&lt;Assumptions!$C$37,Assumptions!$C$37,ABS('Financial Statements'!L53)),IF(ABS(L53)&lt;Assumptions!$C$37,Assumptions!$C$37,'Financial Statements'!L53))</f>
        <v>30970.180988136446</v>
      </c>
      <c r="K30" s="76">
        <f ca="1">IF(J30=Assumptions!$C$37,Assumptions!$C$37,0)</f>
        <v>0</v>
      </c>
      <c r="L30" s="76"/>
      <c r="M30" s="32">
        <f ca="1">IF(N53&lt;0,IF(ABS(N53)&lt;Assumptions!$C$37,Assumptions!$C$37,ABS('Financial Statements'!O53)),IF(ABS(O53)&lt;Assumptions!$C$37,Assumptions!$C$37,'Financial Statements'!O53))</f>
        <v>38474.083764219889</v>
      </c>
      <c r="N30" s="37">
        <f ca="1">IF(M30=Assumptions!$C$37,Assumptions!$C$37,0)</f>
        <v>0</v>
      </c>
      <c r="O30" s="37"/>
      <c r="P30" s="76">
        <f ca="1">IF(Q53&lt;0,IF(ABS(Q53)&lt;Assumptions!$C$37,Assumptions!$C$37,ABS('Financial Statements'!R53)),IF(ABS(R53)&lt;Assumptions!$C$37,Assumptions!$C$37,'Financial Statements'!R53))</f>
        <v>45713.377812186838</v>
      </c>
      <c r="Q30" s="76">
        <f ca="1">IF(P30=Assumptions!$C$37,Assumptions!$C$37,0)</f>
        <v>0</v>
      </c>
      <c r="R30" s="76"/>
      <c r="S30" s="32">
        <f ca="1">IF(T53&lt;0,IF(ABS(T53)&lt;Assumptions!$C$37,Assumptions!$C$37,ABS('Financial Statements'!U53)),IF(ABS(U53)&lt;Assumptions!$C$37,Assumptions!$C$37,'Financial Statements'!U53))</f>
        <v>52672.377835647261</v>
      </c>
      <c r="T30" s="37">
        <f ca="1">IF(S30=Assumptions!$C$37,Assumptions!$C$37,0)</f>
        <v>0</v>
      </c>
      <c r="U30" s="37"/>
      <c r="V30" s="76">
        <f ca="1">IF(W53&lt;0,IF(ABS(W53)&lt;Assumptions!$C$37,Assumptions!$C$37,ABS('Financial Statements'!X53)),IF(ABS(X53)&lt;Assumptions!$C$37,Assumptions!$C$37,'Financial Statements'!X53))</f>
        <v>59334.473057814233</v>
      </c>
      <c r="W30" s="76">
        <f ca="1">IF(V30=Assumptions!$C$37,Assumptions!$C$37,0)</f>
        <v>0</v>
      </c>
      <c r="X30" s="76"/>
      <c r="Y30" s="32">
        <f ca="1">IF(Z53&lt;0,IF(ABS(Z53)&lt;Assumptions!$C$37,Assumptions!$C$37,ABS('Financial Statements'!AA53)),IF(ABS(AA53)&lt;Assumptions!$C$37,Assumptions!$C$37,'Financial Statements'!AA53))</f>
        <v>65682.072910983959</v>
      </c>
      <c r="Z30" s="37">
        <f ca="1">IF(Y30=Assumptions!$C$37,Assumptions!$C$37,0)</f>
        <v>0</v>
      </c>
      <c r="AA30" s="37"/>
      <c r="AB30" s="76">
        <f ca="1">IF(AC53&lt;0,IF(ABS(AC53)&lt;Assumptions!$C$37,Assumptions!$C$37,ABS('Financial Statements'!AD53)),IF(ABS(AD53)&lt;Assumptions!$C$37,Assumptions!$C$37,'Financial Statements'!AD53))</f>
        <v>71696.549559291569</v>
      </c>
      <c r="AC30" s="76">
        <f ca="1">IF(AB30=Assumptions!$C$37,Assumptions!$C$37,0)</f>
        <v>0</v>
      </c>
      <c r="AD30" s="76"/>
      <c r="AE30" s="32">
        <f ca="1">IF(AF53&lt;0,IF(ABS(AF53)&lt;Assumptions!$C$37,Assumptions!$C$37,ABS('Financial Statements'!AG53)),IF(ABS(AG53)&lt;Assumptions!$C$37,Assumptions!$C$37,'Financial Statements'!AG53))</f>
        <v>77358.177071516155</v>
      </c>
      <c r="AF30" s="37">
        <f ca="1">IF(AE30=Assumptions!$C$37,Assumptions!$C$37,0)</f>
        <v>0</v>
      </c>
      <c r="AG30" s="37"/>
      <c r="AH30" s="76">
        <f ca="1">IF(AI53&lt;0,IF(ABS(AI53)&lt;Assumptions!$C$37,Assumptions!$C$37,ABS('Financial Statements'!AJ53)),IF(ABS(AJ53)&lt;Assumptions!$C$37,Assumptions!$C$37,'Financial Statements'!AJ53))</f>
        <v>82646.067050203928</v>
      </c>
      <c r="AI30" s="76">
        <f ca="1">IF(AH30=Assumptions!$C$37,Assumptions!$C$37,0)</f>
        <v>0</v>
      </c>
      <c r="AJ30" s="76"/>
      <c r="AK30" s="32">
        <f ca="1">IF(AL53&lt;0,IF(ABS(AL53)&lt;Assumptions!$C$37,Assumptions!$C$37,ABS('Financial Statements'!AM53)),IF(ABS(AM53)&lt;Assumptions!$C$37,Assumptions!$C$37,'Financial Statements'!AM53))</f>
        <v>87538.100512282908</v>
      </c>
      <c r="AL30" s="37">
        <f ca="1">IF(AK30=Assumptions!$C$37,Assumptions!$C$37,0)</f>
        <v>0</v>
      </c>
      <c r="AM30" s="37"/>
      <c r="AN30" s="76">
        <f ca="1">IF(AO53&lt;0,IF(ABS(AO53)&lt;Assumptions!$C$37,Assumptions!$C$37,ABS('Financial Statements'!AP53)),IF(ABS(AP53)&lt;Assumptions!$C$37,Assumptions!$C$37,'Financial Statements'!AP53))</f>
        <v>92010.855804614665</v>
      </c>
      <c r="AO30" s="76">
        <f ca="1">IF(AN30=Assumptions!$C$37,Assumptions!$C$37,0)</f>
        <v>0</v>
      </c>
      <c r="AP30" s="76"/>
      <c r="AQ30" s="32">
        <f ca="1">IF(AR53&lt;0,IF(ABS(AR53)&lt;Assumptions!$C$37,Assumptions!$C$37,ABS('Financial Statements'!AS53)),IF(ABS(AS53)&lt;Assumptions!$C$37,Assumptions!$C$37,'Financial Statements'!AS53))</f>
        <v>96039.532325541557</v>
      </c>
      <c r="AR30" s="37">
        <f ca="1">IF(AQ30=Assumptions!$C$37,Assumptions!$C$37,0)</f>
        <v>0</v>
      </c>
      <c r="AS30" s="37"/>
      <c r="AT30" s="76">
        <f ca="1">IF(AU53&lt;0,IF(ABS(AU53)&lt;Assumptions!$C$37,Assumptions!$C$37,ABS('Financial Statements'!AV53)),IF(ABS(AV53)&lt;Assumptions!$C$37,Assumptions!$C$37,'Financial Statements'!AV53))</f>
        <v>99597.869810395758</v>
      </c>
      <c r="AU30" s="76">
        <f ca="1">IF(AT30=Assumptions!$C$37,Assumptions!$C$37,0)</f>
        <v>0</v>
      </c>
      <c r="AV30" s="76"/>
      <c r="AW30" s="32">
        <f ca="1">IF(AX53&lt;0,IF(ABS(AX53)&lt;Assumptions!$C$37,Assumptions!$C$37,ABS('Financial Statements'!AY53)),IF(ABS(AY53)&lt;Assumptions!$C$37,Assumptions!$C$37,'Financial Statements'!AY53))</f>
        <v>116733.59481695956</v>
      </c>
      <c r="AX30" s="37">
        <f ca="1">IF(AW30=Assumptions!$C$37,Assumptions!$C$37,0)</f>
        <v>0</v>
      </c>
      <c r="AY30" s="37"/>
      <c r="AZ30" s="83">
        <f ca="1">IF(BA53&lt;0,IF(ABS(BA53)&lt;Assumptions!$C$37,Assumptions!$C$37,ABS('Financial Statements'!BB53)),IF(ABS(BB53)&lt;Assumptions!$C$37,Assumptions!$C$37,'Financial Statements'!BB53))</f>
        <v>139171.0253382611</v>
      </c>
      <c r="BA30" s="76">
        <f ca="1">IF(AZ30=Assumptions!$C$37,Assumptions!$C$37,0)</f>
        <v>0</v>
      </c>
      <c r="BB30" s="79"/>
    </row>
    <row r="31" spans="1:54" x14ac:dyDescent="0.25">
      <c r="A31" s="31" t="s">
        <v>22</v>
      </c>
      <c r="B31" s="12"/>
      <c r="C31" s="12"/>
      <c r="D31" s="101">
        <f>D6/Assumptions!E16</f>
        <v>150</v>
      </c>
      <c r="E31" s="101">
        <f>D6/Assumptions!E16</f>
        <v>150</v>
      </c>
      <c r="F31" s="101">
        <f>D6/Assumptions!E16</f>
        <v>150</v>
      </c>
      <c r="G31" s="102">
        <f>$G$6/Assumptions!$F$16</f>
        <v>159.9075</v>
      </c>
      <c r="H31" s="102">
        <f>$G$6/Assumptions!$F$16</f>
        <v>159.9075</v>
      </c>
      <c r="I31" s="102">
        <f>$G$6/Assumptions!$F$16</f>
        <v>159.9075</v>
      </c>
      <c r="J31" s="101">
        <f>$J$6/Assumptions!$G$16</f>
        <v>170.46939037499999</v>
      </c>
      <c r="K31" s="101">
        <f>$J$6/Assumptions!$G$16</f>
        <v>170.46939037499999</v>
      </c>
      <c r="L31" s="101">
        <f>$J$6/Assumptions!$G$16</f>
        <v>170.46939037499999</v>
      </c>
      <c r="M31" s="102">
        <f>$M$6/Assumptions!$H$16</f>
        <v>181.72889360926874</v>
      </c>
      <c r="N31" s="102">
        <f>$M$6/Assumptions!$H$16</f>
        <v>181.72889360926874</v>
      </c>
      <c r="O31" s="102">
        <f>$M$6/Assumptions!$H$16</f>
        <v>181.72889360926874</v>
      </c>
      <c r="P31" s="101">
        <f>$P$6/Assumptions!$I$16</f>
        <v>193.73208703216093</v>
      </c>
      <c r="Q31" s="101">
        <f>$P$6/Assumptions!$I$16</f>
        <v>193.73208703216093</v>
      </c>
      <c r="R31" s="101">
        <f>$P$6/Assumptions!$I$16</f>
        <v>193.73208703216093</v>
      </c>
      <c r="S31" s="102">
        <f>$S$6/Assumptions!$J$16</f>
        <v>206.52809138063515</v>
      </c>
      <c r="T31" s="102">
        <f>$S$6/Assumptions!$J$16</f>
        <v>206.52809138063515</v>
      </c>
      <c r="U31" s="102">
        <f>$S$6/Assumptions!$J$16</f>
        <v>206.52809138063515</v>
      </c>
      <c r="V31" s="101">
        <f>$V$6/Assumptions!$K$16</f>
        <v>220.16927181632607</v>
      </c>
      <c r="W31" s="101">
        <f>$V$6/Assumptions!$K$16</f>
        <v>220.16927181632607</v>
      </c>
      <c r="X31" s="101">
        <f>$V$6/Assumptions!$K$16</f>
        <v>220.16927181632607</v>
      </c>
      <c r="Y31" s="102">
        <f>$Y$6/Assumptions!$L$16</f>
        <v>234.71145221979444</v>
      </c>
      <c r="Z31" s="102">
        <f>$Y$6/Assumptions!$L$16</f>
        <v>234.71145221979444</v>
      </c>
      <c r="AA31" s="102">
        <f>$Y$6/Assumptions!$L$16</f>
        <v>234.71145221979444</v>
      </c>
      <c r="AB31" s="101">
        <f>$AB$6/Assumptions!$M$16</f>
        <v>250.21414363891188</v>
      </c>
      <c r="AC31" s="101">
        <f>$AB$6/Assumptions!$M$16</f>
        <v>250.21414363891188</v>
      </c>
      <c r="AD31" s="101">
        <f>$AB$6/Assumptions!$M$16</f>
        <v>250.21414363891188</v>
      </c>
      <c r="AE31" s="102">
        <f>$AE$6/Assumptions!$N$16</f>
        <v>266.74078782626196</v>
      </c>
      <c r="AF31" s="102">
        <f>$AE$6/Assumptions!$N$16</f>
        <v>266.74078782626196</v>
      </c>
      <c r="AG31" s="102">
        <f>$AE$6/Assumptions!$N$16</f>
        <v>266.74078782626196</v>
      </c>
      <c r="AH31" s="101">
        <f>$AH$6/Assumptions!$O$16</f>
        <v>284.35901686218654</v>
      </c>
      <c r="AI31" s="101">
        <f>$AH$6/Assumptions!$O$16</f>
        <v>284.35901686218654</v>
      </c>
      <c r="AJ31" s="101">
        <f>$AH$6/Assumptions!$O$16</f>
        <v>284.35901686218654</v>
      </c>
      <c r="AK31" s="102">
        <f>$AK$6/Assumptions!$P$16</f>
        <v>303.1409299259339</v>
      </c>
      <c r="AL31" s="102">
        <f>$AK$6/Assumptions!$P$16</f>
        <v>303.1409299259339</v>
      </c>
      <c r="AM31" s="102">
        <f>$AK$6/Assumptions!$P$16</f>
        <v>303.1409299259339</v>
      </c>
      <c r="AN31" s="101">
        <f>$AN$6/Assumptions!$Q$16</f>
        <v>323.16338834754185</v>
      </c>
      <c r="AO31" s="101">
        <f>$AN$6/Assumptions!$Q$16</f>
        <v>323.16338834754185</v>
      </c>
      <c r="AP31" s="101">
        <f>$AN$6/Assumptions!$Q$16</f>
        <v>323.16338834754185</v>
      </c>
      <c r="AQ31" s="102">
        <f>$AQ$6/Assumptions!$R$16</f>
        <v>344.50833014789708</v>
      </c>
      <c r="AR31" s="102">
        <f>$AQ$6/Assumptions!$R$16</f>
        <v>344.50833014789708</v>
      </c>
      <c r="AS31" s="102">
        <f>$AQ$6/Assumptions!$R$16</f>
        <v>344.50833014789708</v>
      </c>
      <c r="AT31" s="101">
        <f>$AT$6/Assumptions!$S$16</f>
        <v>367.26310535416559</v>
      </c>
      <c r="AU31" s="101">
        <f>$AT$6/Assumptions!$S$16</f>
        <v>367.26310535416559</v>
      </c>
      <c r="AV31" s="101">
        <f>$AT$6/Assumptions!$S$16</f>
        <v>367.26310535416559</v>
      </c>
      <c r="AW31" s="102">
        <f>$AW$6/Assumptions!$T$16</f>
        <v>391.5208334628083</v>
      </c>
      <c r="AX31" s="102">
        <f>$AW$6/Assumptions!$T$16</f>
        <v>391.5208334628083</v>
      </c>
      <c r="AY31" s="102">
        <f>$AW$6/Assumptions!$T$16</f>
        <v>391.5208334628083</v>
      </c>
      <c r="AZ31" s="104">
        <f>$AZ$6/Assumptions!$U$16</f>
        <v>445.20617014722859</v>
      </c>
      <c r="BA31" s="86">
        <f>$AZ$6/Assumptions!$U$16</f>
        <v>445.20617014722859</v>
      </c>
      <c r="BB31" s="86">
        <f>$AZ$6/Assumptions!$U$16</f>
        <v>445.20617014722859</v>
      </c>
    </row>
    <row r="32" spans="1:54" x14ac:dyDescent="0.25">
      <c r="A32" s="33" t="s">
        <v>23</v>
      </c>
      <c r="B32" s="12"/>
      <c r="C32" s="12"/>
      <c r="D32" s="76">
        <f t="shared" ref="D32:O32" ca="1" si="12">SUM(D30:D31)</f>
        <v>15376.968108151865</v>
      </c>
      <c r="E32" s="76">
        <f t="shared" ca="1" si="12"/>
        <v>150</v>
      </c>
      <c r="F32" s="76">
        <f t="shared" si="12"/>
        <v>150</v>
      </c>
      <c r="G32" s="40">
        <f t="shared" ca="1" si="12"/>
        <v>23376.388117014401</v>
      </c>
      <c r="H32" s="40">
        <f t="shared" ca="1" si="12"/>
        <v>159.9075</v>
      </c>
      <c r="I32" s="40">
        <f t="shared" si="12"/>
        <v>159.9075</v>
      </c>
      <c r="J32" s="76">
        <f t="shared" ca="1" si="12"/>
        <v>31140.650378511447</v>
      </c>
      <c r="K32" s="76">
        <f t="shared" ca="1" si="12"/>
        <v>170.46939037499999</v>
      </c>
      <c r="L32" s="76">
        <f t="shared" si="12"/>
        <v>170.46939037499999</v>
      </c>
      <c r="M32" s="40">
        <f t="shared" ca="1" si="12"/>
        <v>38655.812657829156</v>
      </c>
      <c r="N32" s="40">
        <f t="shared" ca="1" si="12"/>
        <v>181.72889360926874</v>
      </c>
      <c r="O32" s="40">
        <f t="shared" si="12"/>
        <v>181.72889360926874</v>
      </c>
      <c r="P32" s="76">
        <f t="shared" ref="P32:BB32" ca="1" si="13">SUM(P30:P31)</f>
        <v>45907.109899219002</v>
      </c>
      <c r="Q32" s="76">
        <f t="shared" ca="1" si="13"/>
        <v>193.73208703216093</v>
      </c>
      <c r="R32" s="76">
        <f t="shared" si="13"/>
        <v>193.73208703216093</v>
      </c>
      <c r="S32" s="40">
        <f t="shared" ca="1" si="13"/>
        <v>52878.905927027896</v>
      </c>
      <c r="T32" s="40">
        <f t="shared" ca="1" si="13"/>
        <v>206.52809138063515</v>
      </c>
      <c r="U32" s="40">
        <f t="shared" si="13"/>
        <v>206.52809138063515</v>
      </c>
      <c r="V32" s="76">
        <f t="shared" ca="1" si="13"/>
        <v>59554.642329630558</v>
      </c>
      <c r="W32" s="76">
        <f t="shared" ca="1" si="13"/>
        <v>220.16927181632607</v>
      </c>
      <c r="X32" s="76">
        <f t="shared" si="13"/>
        <v>220.16927181632607</v>
      </c>
      <c r="Y32" s="40">
        <f t="shared" ca="1" si="13"/>
        <v>65916.784363203755</v>
      </c>
      <c r="Z32" s="40">
        <f t="shared" ca="1" si="13"/>
        <v>234.71145221979444</v>
      </c>
      <c r="AA32" s="40">
        <f t="shared" si="13"/>
        <v>234.71145221979444</v>
      </c>
      <c r="AB32" s="76">
        <f t="shared" ca="1" si="13"/>
        <v>71946.763702930475</v>
      </c>
      <c r="AC32" s="76">
        <f t="shared" ca="1" si="13"/>
        <v>250.21414363891188</v>
      </c>
      <c r="AD32" s="76">
        <f t="shared" si="13"/>
        <v>250.21414363891188</v>
      </c>
      <c r="AE32" s="40">
        <f t="shared" ca="1" si="13"/>
        <v>77624.917859342415</v>
      </c>
      <c r="AF32" s="40">
        <f t="shared" ca="1" si="13"/>
        <v>266.74078782626196</v>
      </c>
      <c r="AG32" s="40">
        <f t="shared" si="13"/>
        <v>266.74078782626196</v>
      </c>
      <c r="AH32" s="76">
        <f t="shared" ca="1" si="13"/>
        <v>82930.426067066117</v>
      </c>
      <c r="AI32" s="76">
        <f ca="1">SUM(AI30:AI31)</f>
        <v>284.35901686218654</v>
      </c>
      <c r="AJ32" s="76">
        <f t="shared" si="13"/>
        <v>284.35901686218654</v>
      </c>
      <c r="AK32" s="40">
        <f t="shared" ca="1" si="13"/>
        <v>87841.241442208848</v>
      </c>
      <c r="AL32" s="40">
        <f t="shared" ca="1" si="13"/>
        <v>303.1409299259339</v>
      </c>
      <c r="AM32" s="40">
        <f t="shared" si="13"/>
        <v>303.1409299259339</v>
      </c>
      <c r="AN32" s="76">
        <f t="shared" ca="1" si="13"/>
        <v>92334.019192962209</v>
      </c>
      <c r="AO32" s="76">
        <f t="shared" ca="1" si="13"/>
        <v>323.16338834754185</v>
      </c>
      <c r="AP32" s="76">
        <f t="shared" si="13"/>
        <v>323.16338834754185</v>
      </c>
      <c r="AQ32" s="40">
        <f t="shared" ca="1" si="13"/>
        <v>96384.04065568946</v>
      </c>
      <c r="AR32" s="40">
        <f t="shared" ca="1" si="13"/>
        <v>344.50833014789708</v>
      </c>
      <c r="AS32" s="40">
        <f t="shared" si="13"/>
        <v>344.50833014789708</v>
      </c>
      <c r="AT32" s="76">
        <f t="shared" ca="1" si="13"/>
        <v>99965.132915749928</v>
      </c>
      <c r="AU32" s="76">
        <f t="shared" ca="1" si="13"/>
        <v>367.26310535416559</v>
      </c>
      <c r="AV32" s="76">
        <f t="shared" si="13"/>
        <v>367.26310535416559</v>
      </c>
      <c r="AW32" s="40">
        <f t="shared" ca="1" si="13"/>
        <v>117125.11565042238</v>
      </c>
      <c r="AX32" s="40">
        <f t="shared" ca="1" si="13"/>
        <v>391.5208334628083</v>
      </c>
      <c r="AY32" s="40">
        <f t="shared" si="13"/>
        <v>391.5208334628083</v>
      </c>
      <c r="AZ32" s="83">
        <f t="shared" ca="1" si="13"/>
        <v>139616.23150840832</v>
      </c>
      <c r="BA32" s="83">
        <f ca="1">SUM(BA30:BA31)</f>
        <v>445.20617014722859</v>
      </c>
      <c r="BB32" s="83">
        <f t="shared" si="13"/>
        <v>445.20617014722859</v>
      </c>
    </row>
    <row r="33" spans="1:54" x14ac:dyDescent="0.25">
      <c r="A33" s="30" t="s">
        <v>24</v>
      </c>
      <c r="B33" s="12"/>
      <c r="C33" s="12"/>
      <c r="D33" s="62"/>
      <c r="E33" s="62"/>
      <c r="F33" s="62"/>
      <c r="G33" s="12"/>
      <c r="H33" s="12"/>
      <c r="I33" s="12"/>
      <c r="J33" s="62"/>
      <c r="K33" s="62"/>
      <c r="L33" s="62"/>
      <c r="M33" s="12"/>
      <c r="N33" s="12"/>
      <c r="O33" s="12"/>
      <c r="P33" s="62"/>
      <c r="Q33" s="62"/>
      <c r="R33" s="62"/>
      <c r="S33" s="12"/>
      <c r="T33" s="12"/>
      <c r="U33" s="12"/>
      <c r="V33" s="62"/>
      <c r="W33" s="62"/>
      <c r="X33" s="62"/>
      <c r="Y33" s="12"/>
      <c r="Z33" s="12"/>
      <c r="AA33" s="12"/>
      <c r="AB33" s="62"/>
      <c r="AC33" s="62"/>
      <c r="AD33" s="62"/>
      <c r="AE33" s="12"/>
      <c r="AF33" s="12"/>
      <c r="AG33" s="12"/>
      <c r="AH33" s="62"/>
      <c r="AI33" s="62"/>
      <c r="AJ33" s="62"/>
      <c r="AK33" s="12"/>
      <c r="AL33" s="12"/>
      <c r="AM33" s="12"/>
      <c r="AN33" s="62"/>
      <c r="AO33" s="62"/>
      <c r="AP33" s="62"/>
      <c r="AQ33" s="12"/>
      <c r="AR33" s="12"/>
      <c r="AS33" s="12"/>
      <c r="AT33" s="62"/>
      <c r="AU33" s="62"/>
      <c r="AV33" s="62"/>
      <c r="AW33" s="12"/>
      <c r="AX33" s="12"/>
      <c r="AY33" s="12"/>
      <c r="AZ33" s="69"/>
      <c r="BA33" s="69"/>
      <c r="BB33" s="69"/>
    </row>
    <row r="34" spans="1:54" x14ac:dyDescent="0.25">
      <c r="A34" s="31" t="s">
        <v>25</v>
      </c>
      <c r="B34" s="12"/>
      <c r="C34" s="12"/>
      <c r="D34" s="63">
        <f>Assumptions!E28</f>
        <v>239000</v>
      </c>
      <c r="E34" s="63">
        <f>Assumptions!E28</f>
        <v>239000</v>
      </c>
      <c r="F34" s="63">
        <f>Assumptions!E28</f>
        <v>239000</v>
      </c>
      <c r="G34" s="32">
        <f>Assumptions!$F$28</f>
        <v>239000</v>
      </c>
      <c r="H34" s="32">
        <f>Assumptions!$F$28</f>
        <v>239000</v>
      </c>
      <c r="I34" s="32">
        <f>Assumptions!$F$28</f>
        <v>239000</v>
      </c>
      <c r="J34" s="63">
        <f>Assumptions!$G$28</f>
        <v>239000</v>
      </c>
      <c r="K34" s="63">
        <f>Assumptions!$G$28</f>
        <v>239000</v>
      </c>
      <c r="L34" s="63">
        <f>Assumptions!$G$28</f>
        <v>239000</v>
      </c>
      <c r="M34" s="32">
        <f>Assumptions!$H$28</f>
        <v>239000</v>
      </c>
      <c r="N34" s="32">
        <f>Assumptions!$H$28</f>
        <v>239000</v>
      </c>
      <c r="O34" s="32">
        <f>Assumptions!$H$28</f>
        <v>239000</v>
      </c>
      <c r="P34" s="63">
        <f>Assumptions!$I$28</f>
        <v>239000</v>
      </c>
      <c r="Q34" s="63">
        <f>Assumptions!$I$28</f>
        <v>239000</v>
      </c>
      <c r="R34" s="63">
        <f>Assumptions!$I$28</f>
        <v>239000</v>
      </c>
      <c r="S34" s="32">
        <f>Assumptions!$J$28</f>
        <v>239000</v>
      </c>
      <c r="T34" s="32">
        <f>Assumptions!$J$28</f>
        <v>239000</v>
      </c>
      <c r="U34" s="32">
        <f>Assumptions!$J$28</f>
        <v>239000</v>
      </c>
      <c r="V34" s="63">
        <f>Assumptions!$K$28</f>
        <v>239000</v>
      </c>
      <c r="W34" s="63">
        <f>Assumptions!$K$28</f>
        <v>239000</v>
      </c>
      <c r="X34" s="63">
        <f>Assumptions!$K$28</f>
        <v>239000</v>
      </c>
      <c r="Y34" s="32">
        <f>Assumptions!$L$28</f>
        <v>239000</v>
      </c>
      <c r="Z34" s="32">
        <f>Assumptions!$L$28</f>
        <v>239000</v>
      </c>
      <c r="AA34" s="32">
        <f>Assumptions!$L$28</f>
        <v>239000</v>
      </c>
      <c r="AB34" s="63">
        <f>Assumptions!$M$28</f>
        <v>239000</v>
      </c>
      <c r="AC34" s="63">
        <f>Assumptions!$M$28</f>
        <v>239000</v>
      </c>
      <c r="AD34" s="63">
        <f>Assumptions!$M$28</f>
        <v>239000</v>
      </c>
      <c r="AE34" s="32">
        <f>Assumptions!$N$28</f>
        <v>239000</v>
      </c>
      <c r="AF34" s="32">
        <f>Assumptions!$N$28</f>
        <v>239000</v>
      </c>
      <c r="AG34" s="32">
        <f>Assumptions!$N$28</f>
        <v>239000</v>
      </c>
      <c r="AH34" s="63">
        <f>Assumptions!$O$28</f>
        <v>239000</v>
      </c>
      <c r="AI34" s="63">
        <f>Assumptions!$O$28</f>
        <v>239000</v>
      </c>
      <c r="AJ34" s="63">
        <f>Assumptions!$O$28</f>
        <v>239000</v>
      </c>
      <c r="AK34" s="32">
        <f>Assumptions!$P$28</f>
        <v>239000</v>
      </c>
      <c r="AL34" s="32">
        <f>Assumptions!$P$28</f>
        <v>239000</v>
      </c>
      <c r="AM34" s="32">
        <f>Assumptions!$P$28</f>
        <v>239000</v>
      </c>
      <c r="AN34" s="63">
        <f>Assumptions!$Q$28</f>
        <v>239000</v>
      </c>
      <c r="AO34" s="63">
        <f>Assumptions!$Q$28</f>
        <v>239000</v>
      </c>
      <c r="AP34" s="63">
        <f>Assumptions!$Q$28</f>
        <v>239000</v>
      </c>
      <c r="AQ34" s="32">
        <f>Assumptions!$R$28</f>
        <v>239000</v>
      </c>
      <c r="AR34" s="32">
        <f>Assumptions!$R$28</f>
        <v>239000</v>
      </c>
      <c r="AS34" s="32">
        <f>Assumptions!$R$28</f>
        <v>239000</v>
      </c>
      <c r="AT34" s="63">
        <f>Assumptions!$S$28</f>
        <v>239000</v>
      </c>
      <c r="AU34" s="63">
        <f>Assumptions!$S$28</f>
        <v>239000</v>
      </c>
      <c r="AV34" s="63">
        <f>Assumptions!$S$28</f>
        <v>239000</v>
      </c>
      <c r="AW34" s="32">
        <f>Assumptions!$T$28</f>
        <v>239000</v>
      </c>
      <c r="AX34" s="32">
        <f>Assumptions!$T$28</f>
        <v>239000</v>
      </c>
      <c r="AY34" s="32">
        <f>Assumptions!$T$28</f>
        <v>239000</v>
      </c>
      <c r="AZ34" s="70">
        <f>Assumptions!$U$28</f>
        <v>239000</v>
      </c>
      <c r="BA34" s="70">
        <f>Assumptions!$U$28</f>
        <v>239000</v>
      </c>
      <c r="BB34" s="70">
        <f>Assumptions!$U$28</f>
        <v>239000</v>
      </c>
    </row>
    <row r="35" spans="1:54" x14ac:dyDescent="0.25">
      <c r="A35" s="33" t="s">
        <v>26</v>
      </c>
      <c r="B35" s="12"/>
      <c r="C35" s="12"/>
      <c r="D35" s="79">
        <f>Assumptions!E29</f>
        <v>11950</v>
      </c>
      <c r="E35" s="79">
        <f>Assumptions!E29</f>
        <v>11950</v>
      </c>
      <c r="F35" s="79">
        <f>Assumptions!E29</f>
        <v>11950</v>
      </c>
      <c r="G35" s="43">
        <f>D35+Assumptions!$F$29</f>
        <v>23900</v>
      </c>
      <c r="H35" s="43">
        <f>E35+Assumptions!$F$29</f>
        <v>23900</v>
      </c>
      <c r="I35" s="43">
        <f>F35+Assumptions!$F$29</f>
        <v>23900</v>
      </c>
      <c r="J35" s="79">
        <f>$G$35+Assumptions!$G$29</f>
        <v>35850</v>
      </c>
      <c r="K35" s="79">
        <f>$G$35+Assumptions!$G$29</f>
        <v>35850</v>
      </c>
      <c r="L35" s="79">
        <f>$G$35+Assumptions!$G$29</f>
        <v>35850</v>
      </c>
      <c r="M35" s="43">
        <f>J35+Assumptions!$H$29</f>
        <v>47800</v>
      </c>
      <c r="N35" s="43">
        <f>K35+Assumptions!$H$29</f>
        <v>47800</v>
      </c>
      <c r="O35" s="43">
        <f>L35+Assumptions!$H$29</f>
        <v>47800</v>
      </c>
      <c r="P35" s="79">
        <f>M35+Assumptions!$I$29</f>
        <v>59750</v>
      </c>
      <c r="Q35" s="79">
        <f>N35+Assumptions!$I$29</f>
        <v>59750</v>
      </c>
      <c r="R35" s="79">
        <f>O35+Assumptions!$I$29</f>
        <v>59750</v>
      </c>
      <c r="S35" s="43">
        <f>P35+Assumptions!$J$29</f>
        <v>71700</v>
      </c>
      <c r="T35" s="43">
        <f>Q35+Assumptions!$J$29</f>
        <v>71700</v>
      </c>
      <c r="U35" s="43">
        <f>R35+Assumptions!$J$29</f>
        <v>71700</v>
      </c>
      <c r="V35" s="79">
        <f>$S$35+Assumptions!$K$29</f>
        <v>83650</v>
      </c>
      <c r="W35" s="79">
        <f>$S$35+Assumptions!$K$29</f>
        <v>83650</v>
      </c>
      <c r="X35" s="79">
        <f>$S$35+Assumptions!$K$29</f>
        <v>83650</v>
      </c>
      <c r="Y35" s="43">
        <f>V35+Assumptions!$L$29</f>
        <v>95600</v>
      </c>
      <c r="Z35" s="43">
        <f>W35+Assumptions!$L$29</f>
        <v>95600</v>
      </c>
      <c r="AA35" s="43">
        <f>X35+Assumptions!$L$29</f>
        <v>95600</v>
      </c>
      <c r="AB35" s="79">
        <f>$Y$35+Assumptions!$M$29</f>
        <v>107550</v>
      </c>
      <c r="AC35" s="79">
        <f>$Y$35+Assumptions!$M$29</f>
        <v>107550</v>
      </c>
      <c r="AD35" s="79">
        <f>$Y$35+Assumptions!$M$29</f>
        <v>107550</v>
      </c>
      <c r="AE35" s="43">
        <f>$AB$35+Assumptions!$N$29</f>
        <v>119500</v>
      </c>
      <c r="AF35" s="43">
        <f>$AB$35+Assumptions!$N$29</f>
        <v>119500</v>
      </c>
      <c r="AG35" s="43">
        <f>$AB$35+Assumptions!$N$29</f>
        <v>119500</v>
      </c>
      <c r="AH35" s="79">
        <f>$AE$35+Assumptions!$O$29</f>
        <v>131450</v>
      </c>
      <c r="AI35" s="79">
        <f>$AE$35+Assumptions!$O$29</f>
        <v>131450</v>
      </c>
      <c r="AJ35" s="79">
        <f>$AE$35+Assumptions!$O$29</f>
        <v>131450</v>
      </c>
      <c r="AK35" s="43">
        <f>$AH$35+Assumptions!$P$29</f>
        <v>143400</v>
      </c>
      <c r="AL35" s="43">
        <f>$AH$35+Assumptions!$P$29</f>
        <v>143400</v>
      </c>
      <c r="AM35" s="43">
        <f>$AH$35+Assumptions!$P$29</f>
        <v>143400</v>
      </c>
      <c r="AN35" s="79">
        <f>$AK$35+Assumptions!$Q$29</f>
        <v>155350</v>
      </c>
      <c r="AO35" s="79">
        <f>$AK$35+Assumptions!$Q$29</f>
        <v>155350</v>
      </c>
      <c r="AP35" s="79">
        <f>$AK$35+Assumptions!$Q$29</f>
        <v>155350</v>
      </c>
      <c r="AQ35" s="43">
        <f>$AN$35+Assumptions!$R$29</f>
        <v>167300</v>
      </c>
      <c r="AR35" s="43">
        <f>$AN$35+Assumptions!$R$29</f>
        <v>167300</v>
      </c>
      <c r="AS35" s="43">
        <f>$AN$35+Assumptions!$R$29</f>
        <v>167300</v>
      </c>
      <c r="AT35" s="79">
        <f>$AQ$35+Assumptions!$S$29</f>
        <v>179250</v>
      </c>
      <c r="AU35" s="79">
        <f>$AQ$35+Assumptions!$S$29</f>
        <v>179250</v>
      </c>
      <c r="AV35" s="79">
        <f>$AQ$35+Assumptions!$S$29</f>
        <v>179250</v>
      </c>
      <c r="AW35" s="43">
        <f>$AT$35+Assumptions!$T$29</f>
        <v>191200</v>
      </c>
      <c r="AX35" s="43">
        <f>$AT$35+Assumptions!$T$29</f>
        <v>191200</v>
      </c>
      <c r="AY35" s="43">
        <f>$AT$35+Assumptions!$T$29</f>
        <v>191200</v>
      </c>
      <c r="AZ35" s="87">
        <f>$AW$35+Assumptions!$U$29</f>
        <v>203150</v>
      </c>
      <c r="BA35" s="70">
        <f>$AW$35+Assumptions!$U$29</f>
        <v>203150</v>
      </c>
      <c r="BB35" s="70">
        <f>$AW$35+Assumptions!$U$29</f>
        <v>203150</v>
      </c>
    </row>
    <row r="36" spans="1:54" x14ac:dyDescent="0.25">
      <c r="A36" s="30" t="s">
        <v>27</v>
      </c>
      <c r="B36" s="12"/>
      <c r="C36" s="12"/>
      <c r="D36" s="79">
        <f t="shared" ref="D36:L36" si="14">D34-D35</f>
        <v>227050</v>
      </c>
      <c r="E36" s="79">
        <f t="shared" si="14"/>
        <v>227050</v>
      </c>
      <c r="F36" s="79">
        <f>F34-F35</f>
        <v>227050</v>
      </c>
      <c r="G36" s="43">
        <f t="shared" si="14"/>
        <v>215100</v>
      </c>
      <c r="H36" s="43">
        <f t="shared" si="14"/>
        <v>215100</v>
      </c>
      <c r="I36" s="43">
        <f t="shared" si="14"/>
        <v>215100</v>
      </c>
      <c r="J36" s="79">
        <f t="shared" si="14"/>
        <v>203150</v>
      </c>
      <c r="K36" s="79">
        <f t="shared" si="14"/>
        <v>203150</v>
      </c>
      <c r="L36" s="79">
        <f t="shared" si="14"/>
        <v>203150</v>
      </c>
      <c r="M36" s="43">
        <f t="shared" ref="M36:BB36" si="15">M34-M35</f>
        <v>191200</v>
      </c>
      <c r="N36" s="43">
        <f t="shared" si="15"/>
        <v>191200</v>
      </c>
      <c r="O36" s="43">
        <f t="shared" si="15"/>
        <v>191200</v>
      </c>
      <c r="P36" s="79">
        <f t="shared" si="15"/>
        <v>179250</v>
      </c>
      <c r="Q36" s="79">
        <f t="shared" si="15"/>
        <v>179250</v>
      </c>
      <c r="R36" s="79">
        <f t="shared" si="15"/>
        <v>179250</v>
      </c>
      <c r="S36" s="43">
        <f t="shared" si="15"/>
        <v>167300</v>
      </c>
      <c r="T36" s="43">
        <f t="shared" si="15"/>
        <v>167300</v>
      </c>
      <c r="U36" s="43">
        <f t="shared" si="15"/>
        <v>167300</v>
      </c>
      <c r="V36" s="79">
        <f t="shared" si="15"/>
        <v>155350</v>
      </c>
      <c r="W36" s="79">
        <f t="shared" si="15"/>
        <v>155350</v>
      </c>
      <c r="X36" s="79">
        <f t="shared" si="15"/>
        <v>155350</v>
      </c>
      <c r="Y36" s="43">
        <f t="shared" si="15"/>
        <v>143400</v>
      </c>
      <c r="Z36" s="43">
        <f t="shared" si="15"/>
        <v>143400</v>
      </c>
      <c r="AA36" s="43">
        <f t="shared" si="15"/>
        <v>143400</v>
      </c>
      <c r="AB36" s="79">
        <f t="shared" si="15"/>
        <v>131450</v>
      </c>
      <c r="AC36" s="79">
        <f t="shared" si="15"/>
        <v>131450</v>
      </c>
      <c r="AD36" s="79">
        <f t="shared" si="15"/>
        <v>131450</v>
      </c>
      <c r="AE36" s="43">
        <f t="shared" si="15"/>
        <v>119500</v>
      </c>
      <c r="AF36" s="43">
        <f t="shared" si="15"/>
        <v>119500</v>
      </c>
      <c r="AG36" s="43">
        <f t="shared" si="15"/>
        <v>119500</v>
      </c>
      <c r="AH36" s="79">
        <f t="shared" si="15"/>
        <v>107550</v>
      </c>
      <c r="AI36" s="79">
        <f t="shared" si="15"/>
        <v>107550</v>
      </c>
      <c r="AJ36" s="79">
        <f t="shared" si="15"/>
        <v>107550</v>
      </c>
      <c r="AK36" s="43">
        <f t="shared" si="15"/>
        <v>95600</v>
      </c>
      <c r="AL36" s="43">
        <f t="shared" si="15"/>
        <v>95600</v>
      </c>
      <c r="AM36" s="43">
        <f t="shared" si="15"/>
        <v>95600</v>
      </c>
      <c r="AN36" s="79">
        <f t="shared" si="15"/>
        <v>83650</v>
      </c>
      <c r="AO36" s="79">
        <f t="shared" si="15"/>
        <v>83650</v>
      </c>
      <c r="AP36" s="79">
        <f t="shared" si="15"/>
        <v>83650</v>
      </c>
      <c r="AQ36" s="43">
        <f t="shared" si="15"/>
        <v>71700</v>
      </c>
      <c r="AR36" s="43">
        <f t="shared" si="15"/>
        <v>71700</v>
      </c>
      <c r="AS36" s="43">
        <f t="shared" si="15"/>
        <v>71700</v>
      </c>
      <c r="AT36" s="79">
        <f t="shared" si="15"/>
        <v>59750</v>
      </c>
      <c r="AU36" s="79">
        <f t="shared" si="15"/>
        <v>59750</v>
      </c>
      <c r="AV36" s="79">
        <f t="shared" si="15"/>
        <v>59750</v>
      </c>
      <c r="AW36" s="43">
        <f t="shared" si="15"/>
        <v>47800</v>
      </c>
      <c r="AX36" s="43">
        <f t="shared" si="15"/>
        <v>47800</v>
      </c>
      <c r="AY36" s="43">
        <f t="shared" si="15"/>
        <v>47800</v>
      </c>
      <c r="AZ36" s="87">
        <f t="shared" si="15"/>
        <v>35850</v>
      </c>
      <c r="BA36" s="70">
        <f t="shared" si="15"/>
        <v>35850</v>
      </c>
      <c r="BB36" s="70">
        <f t="shared" si="15"/>
        <v>35850</v>
      </c>
    </row>
    <row r="37" spans="1:54" ht="15.75" thickBot="1" x14ac:dyDescent="0.3">
      <c r="A37" s="29" t="s">
        <v>28</v>
      </c>
      <c r="B37" s="12"/>
      <c r="C37" s="12"/>
      <c r="D37" s="77">
        <f ca="1">D32+D36</f>
        <v>242426.96810815186</v>
      </c>
      <c r="E37" s="77">
        <f ca="1">E32+E36</f>
        <v>227200</v>
      </c>
      <c r="F37" s="77">
        <f>F32+F36</f>
        <v>227200</v>
      </c>
      <c r="G37" s="24">
        <f t="shared" ref="G37:M37" ca="1" si="16">G32+G36</f>
        <v>238476.3881170144</v>
      </c>
      <c r="H37" s="24">
        <f t="shared" ref="H37:I37" ca="1" si="17">H32+H36</f>
        <v>215259.9075</v>
      </c>
      <c r="I37" s="24">
        <f t="shared" si="17"/>
        <v>215259.9075</v>
      </c>
      <c r="J37" s="77">
        <f t="shared" ca="1" si="16"/>
        <v>234290.65037851146</v>
      </c>
      <c r="K37" s="77">
        <f t="shared" ref="K37:L37" ca="1" si="18">K32+K36</f>
        <v>203320.46939037499</v>
      </c>
      <c r="L37" s="77">
        <f t="shared" si="18"/>
        <v>203320.46939037499</v>
      </c>
      <c r="M37" s="24">
        <f t="shared" ca="1" si="16"/>
        <v>229855.81265782914</v>
      </c>
      <c r="N37" s="24">
        <f t="shared" ref="N37:O37" ca="1" si="19">N32+N36</f>
        <v>191381.72889360928</v>
      </c>
      <c r="O37" s="24">
        <f t="shared" si="19"/>
        <v>191381.72889360928</v>
      </c>
      <c r="P37" s="77">
        <f t="shared" ref="P37:AZ37" ca="1" si="20">P32+P36</f>
        <v>225157.10989921901</v>
      </c>
      <c r="Q37" s="77">
        <f t="shared" ref="Q37:R37" ca="1" si="21">Q32+Q36</f>
        <v>179443.73208703217</v>
      </c>
      <c r="R37" s="77">
        <f t="shared" si="21"/>
        <v>179443.73208703217</v>
      </c>
      <c r="S37" s="24">
        <f t="shared" ca="1" si="20"/>
        <v>220178.9059270279</v>
      </c>
      <c r="T37" s="24">
        <f t="shared" ref="T37:U37" ca="1" si="22">T32+T36</f>
        <v>167506.52809138063</v>
      </c>
      <c r="U37" s="24">
        <f t="shared" si="22"/>
        <v>167506.52809138063</v>
      </c>
      <c r="V37" s="77">
        <f t="shared" ca="1" si="20"/>
        <v>214904.64232963056</v>
      </c>
      <c r="W37" s="77">
        <f t="shared" ref="W37:X37" ca="1" si="23">W32+W36</f>
        <v>155570.16927181632</v>
      </c>
      <c r="X37" s="77">
        <f t="shared" si="23"/>
        <v>155570.16927181632</v>
      </c>
      <c r="Y37" s="24">
        <f t="shared" ca="1" si="20"/>
        <v>209316.78436320374</v>
      </c>
      <c r="Z37" s="24">
        <f t="shared" ref="Z37:AA37" ca="1" si="24">Z32+Z36</f>
        <v>143634.71145221978</v>
      </c>
      <c r="AA37" s="24">
        <f t="shared" si="24"/>
        <v>143634.71145221978</v>
      </c>
      <c r="AB37" s="77">
        <f t="shared" ca="1" si="20"/>
        <v>203396.76370293048</v>
      </c>
      <c r="AC37" s="77">
        <f t="shared" ref="AC37:AD37" ca="1" si="25">AC32+AC36</f>
        <v>131700.21414363891</v>
      </c>
      <c r="AD37" s="77">
        <f t="shared" si="25"/>
        <v>131700.21414363891</v>
      </c>
      <c r="AE37" s="24">
        <f t="shared" ca="1" si="20"/>
        <v>197124.91785934241</v>
      </c>
      <c r="AF37" s="24">
        <f t="shared" ref="AF37:AG37" ca="1" si="26">AF32+AF36</f>
        <v>119766.74078782626</v>
      </c>
      <c r="AG37" s="24">
        <f t="shared" si="26"/>
        <v>119766.74078782626</v>
      </c>
      <c r="AH37" s="77">
        <f ca="1">AH32+AH36</f>
        <v>190480.42606706612</v>
      </c>
      <c r="AI37" s="77">
        <f ca="1">AI32+AI36</f>
        <v>107834.35901686219</v>
      </c>
      <c r="AJ37" s="77">
        <f>AJ32+AJ36</f>
        <v>107834.35901686219</v>
      </c>
      <c r="AK37" s="24">
        <f t="shared" ca="1" si="20"/>
        <v>183441.24144220885</v>
      </c>
      <c r="AL37" s="24">
        <f t="shared" ref="AL37:AM37" ca="1" si="27">AL32+AL36</f>
        <v>95903.140929925939</v>
      </c>
      <c r="AM37" s="24">
        <f t="shared" si="27"/>
        <v>95903.140929925939</v>
      </c>
      <c r="AN37" s="77">
        <f t="shared" ca="1" si="20"/>
        <v>175984.01919296221</v>
      </c>
      <c r="AO37" s="77">
        <f t="shared" ref="AO37:AP37" ca="1" si="28">AO32+AO36</f>
        <v>83973.163388347544</v>
      </c>
      <c r="AP37" s="77">
        <f t="shared" si="28"/>
        <v>83973.163388347544</v>
      </c>
      <c r="AQ37" s="24">
        <f t="shared" ca="1" si="20"/>
        <v>168084.04065568946</v>
      </c>
      <c r="AR37" s="24">
        <f t="shared" ref="AR37:AS37" ca="1" si="29">AR32+AR36</f>
        <v>72044.508330147903</v>
      </c>
      <c r="AS37" s="24">
        <f t="shared" si="29"/>
        <v>72044.508330147903</v>
      </c>
      <c r="AT37" s="77">
        <f t="shared" ca="1" si="20"/>
        <v>159715.13291574991</v>
      </c>
      <c r="AU37" s="77">
        <f t="shared" ref="AU37:AV37" ca="1" si="30">AU32+AU36</f>
        <v>60117.263105354163</v>
      </c>
      <c r="AV37" s="77">
        <f t="shared" si="30"/>
        <v>60117.263105354163</v>
      </c>
      <c r="AW37" s="24">
        <f t="shared" ca="1" si="20"/>
        <v>164925.11565042238</v>
      </c>
      <c r="AX37" s="24">
        <f t="shared" ref="AX37:AY37" ca="1" si="31">AX32+AX36</f>
        <v>48191.520833462811</v>
      </c>
      <c r="AY37" s="24">
        <f t="shared" si="31"/>
        <v>48191.520833462811</v>
      </c>
      <c r="AZ37" s="84">
        <f t="shared" ca="1" si="20"/>
        <v>175466.23150840832</v>
      </c>
      <c r="BA37" s="84">
        <f t="shared" ref="BA37:BB37" ca="1" si="32">BA32+BA36</f>
        <v>36295.206170147227</v>
      </c>
      <c r="BB37" s="84">
        <f t="shared" si="32"/>
        <v>36295.206170147227</v>
      </c>
    </row>
    <row r="38" spans="1:54" ht="15.75" thickTop="1" x14ac:dyDescent="0.25">
      <c r="A38" s="34"/>
      <c r="B38" s="12"/>
      <c r="C38" s="12"/>
      <c r="D38" s="62"/>
      <c r="E38" s="62"/>
      <c r="F38" s="62"/>
      <c r="G38" s="32"/>
      <c r="H38" s="32"/>
      <c r="I38" s="32"/>
      <c r="J38" s="63"/>
      <c r="K38" s="63"/>
      <c r="L38" s="63"/>
      <c r="M38" s="12"/>
      <c r="N38" s="12"/>
      <c r="O38" s="12"/>
      <c r="P38" s="62"/>
      <c r="Q38" s="62"/>
      <c r="R38" s="62"/>
      <c r="S38" s="12"/>
      <c r="T38" s="12"/>
      <c r="U38" s="12"/>
      <c r="V38" s="62"/>
      <c r="W38" s="62"/>
      <c r="X38" s="62"/>
      <c r="Y38" s="12"/>
      <c r="Z38" s="12"/>
      <c r="AA38" s="12"/>
      <c r="AB38" s="62"/>
      <c r="AC38" s="62"/>
      <c r="AD38" s="62"/>
      <c r="AE38" s="12"/>
      <c r="AF38" s="12"/>
      <c r="AG38" s="12"/>
      <c r="AH38" s="62"/>
      <c r="AI38" s="62"/>
      <c r="AJ38" s="62"/>
      <c r="AK38" s="12"/>
      <c r="AL38" s="12"/>
      <c r="AM38" s="12"/>
      <c r="AN38" s="62"/>
      <c r="AO38" s="62"/>
      <c r="AP38" s="62"/>
      <c r="AQ38" s="12"/>
      <c r="AR38" s="12"/>
      <c r="AS38" s="12"/>
      <c r="AT38" s="62"/>
      <c r="AU38" s="62"/>
      <c r="AV38" s="62"/>
      <c r="AW38" s="12"/>
      <c r="AX38" s="12"/>
      <c r="AY38" s="12"/>
      <c r="AZ38" s="69"/>
      <c r="BA38" s="69"/>
      <c r="BB38" s="69"/>
    </row>
    <row r="39" spans="1:54" x14ac:dyDescent="0.25">
      <c r="A39" s="29" t="s">
        <v>29</v>
      </c>
      <c r="B39" s="12"/>
      <c r="C39" s="12"/>
      <c r="D39" s="62"/>
      <c r="E39" s="62"/>
      <c r="F39" s="62"/>
      <c r="G39" s="12"/>
      <c r="H39" s="12"/>
      <c r="I39" s="12"/>
      <c r="J39" s="62"/>
      <c r="K39" s="62"/>
      <c r="L39" s="62"/>
      <c r="M39" s="12"/>
      <c r="N39" s="12"/>
      <c r="O39" s="12"/>
      <c r="P39" s="62"/>
      <c r="Q39" s="62"/>
      <c r="R39" s="62"/>
      <c r="S39" s="12"/>
      <c r="T39" s="12"/>
      <c r="U39" s="12"/>
      <c r="V39" s="62"/>
      <c r="W39" s="62"/>
      <c r="X39" s="62"/>
      <c r="Y39" s="12"/>
      <c r="Z39" s="12"/>
      <c r="AA39" s="12"/>
      <c r="AB39" s="62"/>
      <c r="AC39" s="62"/>
      <c r="AD39" s="62"/>
      <c r="AE39" s="12"/>
      <c r="AF39" s="12"/>
      <c r="AG39" s="12"/>
      <c r="AH39" s="62"/>
      <c r="AI39" s="62"/>
      <c r="AJ39" s="62"/>
      <c r="AK39" s="12"/>
      <c r="AL39" s="12"/>
      <c r="AM39" s="12"/>
      <c r="AN39" s="62"/>
      <c r="AO39" s="62"/>
      <c r="AP39" s="62"/>
      <c r="AQ39" s="12"/>
      <c r="AR39" s="12"/>
      <c r="AS39" s="12"/>
      <c r="AT39" s="62"/>
      <c r="AU39" s="62"/>
      <c r="AV39" s="62"/>
      <c r="AW39" s="12"/>
      <c r="AX39" s="12"/>
      <c r="AY39" s="12"/>
      <c r="AZ39" s="69"/>
      <c r="BA39" s="69"/>
      <c r="BB39" s="69"/>
    </row>
    <row r="40" spans="1:54" x14ac:dyDescent="0.25">
      <c r="A40" s="30" t="s">
        <v>133</v>
      </c>
      <c r="B40" s="12"/>
      <c r="C40" s="12"/>
      <c r="D40" s="63">
        <f>$D$11/Assumptions!$E$22</f>
        <v>855</v>
      </c>
      <c r="E40" s="63">
        <f>$D$11/Assumptions!$E$22</f>
        <v>855</v>
      </c>
      <c r="F40" s="63">
        <f>$D$11/Assumptions!$E$22</f>
        <v>855</v>
      </c>
      <c r="G40" s="32">
        <f>$G$11/Assumptions!$F$22</f>
        <v>911.47275000000002</v>
      </c>
      <c r="H40" s="32">
        <f>$G$11/Assumptions!$F$22</f>
        <v>911.47275000000002</v>
      </c>
      <c r="I40" s="32">
        <f>$G$11/Assumptions!$F$22</f>
        <v>911.47275000000002</v>
      </c>
      <c r="J40" s="63">
        <f>$J$11/Assumptions!$G$22</f>
        <v>971.6755251374999</v>
      </c>
      <c r="K40" s="63">
        <f>$J$11/Assumptions!$G$22</f>
        <v>971.6755251374999</v>
      </c>
      <c r="L40" s="63">
        <f>$J$11/Assumptions!$G$22</f>
        <v>971.6755251374999</v>
      </c>
      <c r="M40" s="32">
        <f>$M$11/Assumptions!$H$22</f>
        <v>1035.8546935728318</v>
      </c>
      <c r="N40" s="32">
        <f>$M$11/Assumptions!$H$22</f>
        <v>1035.8546935728318</v>
      </c>
      <c r="O40" s="32">
        <f>$M$11/Assumptions!$H$22</f>
        <v>1035.8546935728318</v>
      </c>
      <c r="P40" s="63">
        <f>$P$11/Assumptions!$I$22</f>
        <v>1104.2728960833172</v>
      </c>
      <c r="Q40" s="63">
        <f>$P$11/Assumptions!$I$22</f>
        <v>1104.2728960833172</v>
      </c>
      <c r="R40" s="63">
        <f>$P$11/Assumptions!$I$22</f>
        <v>1104.2728960833172</v>
      </c>
      <c r="S40" s="32">
        <f>$S$11/Assumptions!$J$22</f>
        <v>1177.2101208696201</v>
      </c>
      <c r="T40" s="32">
        <f>$S$11/Assumptions!$J$22</f>
        <v>1177.2101208696201</v>
      </c>
      <c r="U40" s="32">
        <f>$S$11/Assumptions!$J$22</f>
        <v>1177.2101208696201</v>
      </c>
      <c r="V40" s="63">
        <f>$V$11/Assumptions!$K$22</f>
        <v>1254.9648493530585</v>
      </c>
      <c r="W40" s="63">
        <f>$V$11/Assumptions!$K$22</f>
        <v>1254.9648493530585</v>
      </c>
      <c r="X40" s="63">
        <f>$V$11/Assumptions!$K$22</f>
        <v>1254.9648493530585</v>
      </c>
      <c r="Y40" s="32">
        <f>$Y$11/Assumptions!$L$22</f>
        <v>1337.8552776528281</v>
      </c>
      <c r="Z40" s="32">
        <f>$Y$11/Assumptions!$L$22</f>
        <v>1337.8552776528281</v>
      </c>
      <c r="AA40" s="32">
        <f>$Y$11/Assumptions!$L$22</f>
        <v>1337.8552776528281</v>
      </c>
      <c r="AB40" s="63">
        <f>$AB$11/Assumptions!$M$22</f>
        <v>1426.2206187417976</v>
      </c>
      <c r="AC40" s="63">
        <f>$AB$11/Assumptions!$M$22</f>
        <v>1426.2206187417976</v>
      </c>
      <c r="AD40" s="63">
        <f>$AB$11/Assumptions!$M$22</f>
        <v>1426.2206187417976</v>
      </c>
      <c r="AE40" s="32">
        <f>$AE$11/Assumptions!$N$22</f>
        <v>1520.4224906096929</v>
      </c>
      <c r="AF40" s="32">
        <f>$AE$11/Assumptions!$N$22</f>
        <v>1520.4224906096929</v>
      </c>
      <c r="AG40" s="32">
        <f>$AE$11/Assumptions!$N$22</f>
        <v>1520.4224906096929</v>
      </c>
      <c r="AH40" s="63">
        <f>$AH$11/Assumptions!$O$22</f>
        <v>1620.846396114463</v>
      </c>
      <c r="AI40" s="63">
        <f>$AH$11/Assumptions!$O$22</f>
        <v>1620.846396114463</v>
      </c>
      <c r="AJ40" s="63">
        <f>$AH$11/Assumptions!$O$22</f>
        <v>1620.846396114463</v>
      </c>
      <c r="AK40" s="32">
        <f>$AK$11/Assumptions!$P$22</f>
        <v>1727.9033005778233</v>
      </c>
      <c r="AL40" s="32">
        <f>$AK$11/Assumptions!$P$22</f>
        <v>1727.9033005778233</v>
      </c>
      <c r="AM40" s="32">
        <f>$AK$11/Assumptions!$P$22</f>
        <v>1727.9033005778233</v>
      </c>
      <c r="AN40" s="63">
        <f>$AN$11/Assumptions!$Q$22</f>
        <v>1842.0313135809886</v>
      </c>
      <c r="AO40" s="63">
        <f>$AN$11/Assumptions!$Q$22</f>
        <v>1842.0313135809886</v>
      </c>
      <c r="AP40" s="63">
        <f>$AN$11/Assumptions!$Q$22</f>
        <v>1842.0313135809886</v>
      </c>
      <c r="AQ40" s="32">
        <f>$AQ$11/Assumptions!$R$22</f>
        <v>1963.6974818430131</v>
      </c>
      <c r="AR40" s="32">
        <f>$AQ$11/Assumptions!$R$22</f>
        <v>1963.6974818430131</v>
      </c>
      <c r="AS40" s="32">
        <f>$AQ$11/Assumptions!$R$22</f>
        <v>1963.6974818430131</v>
      </c>
      <c r="AT40" s="63">
        <f>$AT$11/Assumptions!$S$22</f>
        <v>2093.3997005187439</v>
      </c>
      <c r="AU40" s="63">
        <f>$AT$11/Assumptions!$S$22</f>
        <v>2093.3997005187439</v>
      </c>
      <c r="AV40" s="63">
        <f>$AT$11/Assumptions!$S$22</f>
        <v>2093.3997005187439</v>
      </c>
      <c r="AW40" s="32">
        <f>$AW$11/Assumptions!$T$22</f>
        <v>2231.668750738007</v>
      </c>
      <c r="AX40" s="32">
        <f>$AW$11/Assumptions!$T$22</f>
        <v>2231.668750738007</v>
      </c>
      <c r="AY40" s="32">
        <f>$AW$11/Assumptions!$T$22</f>
        <v>2231.668750738007</v>
      </c>
      <c r="AZ40" s="70">
        <f>$AZ$11/Assumptions!$U$22</f>
        <v>2537.6751698392027</v>
      </c>
      <c r="BA40" s="70">
        <f>$AZ$11/Assumptions!$U$22</f>
        <v>2537.6751698392027</v>
      </c>
      <c r="BB40" s="70">
        <f>$AZ$11/Assumptions!$U$22</f>
        <v>2537.6751698392027</v>
      </c>
    </row>
    <row r="41" spans="1:54" x14ac:dyDescent="0.25">
      <c r="A41" s="30" t="s">
        <v>134</v>
      </c>
      <c r="B41" s="12"/>
      <c r="C41" s="12"/>
      <c r="D41" s="79">
        <f>D13/Assumptions!E26</f>
        <v>247.5</v>
      </c>
      <c r="E41" s="79">
        <f>D13/Assumptions!E26</f>
        <v>247.5</v>
      </c>
      <c r="F41" s="79">
        <f>D13/Assumptions!E26</f>
        <v>247.5</v>
      </c>
      <c r="G41" s="43">
        <f>$G$13/Assumptions!$F$26</f>
        <v>263.847375</v>
      </c>
      <c r="H41" s="43">
        <f>$G$13/Assumptions!$F$26</f>
        <v>263.847375</v>
      </c>
      <c r="I41" s="43">
        <f>$G$13/Assumptions!$F$26</f>
        <v>263.847375</v>
      </c>
      <c r="J41" s="79">
        <f>$J$13/Assumptions!$G$26</f>
        <v>281.27449411875</v>
      </c>
      <c r="K41" s="79">
        <f>$J$13/Assumptions!$G$26</f>
        <v>281.27449411875</v>
      </c>
      <c r="L41" s="79">
        <f>$J$13/Assumptions!$G$26</f>
        <v>281.27449411875</v>
      </c>
      <c r="M41" s="43">
        <f>$M$13/Assumptions!$H$26</f>
        <v>299.85267445529342</v>
      </c>
      <c r="N41" s="43">
        <f>$M$13/Assumptions!$H$26</f>
        <v>299.85267445529342</v>
      </c>
      <c r="O41" s="43">
        <f>$M$13/Assumptions!$H$26</f>
        <v>299.85267445529342</v>
      </c>
      <c r="P41" s="79">
        <f>$P$13/Assumptions!$I$26</f>
        <v>319.65794360306552</v>
      </c>
      <c r="Q41" s="79">
        <f>$P$13/Assumptions!$I$26</f>
        <v>319.65794360306552</v>
      </c>
      <c r="R41" s="79">
        <f>$P$13/Assumptions!$I$26</f>
        <v>319.65794360306552</v>
      </c>
      <c r="S41" s="43">
        <f>$S$13/Assumptions!$J$26</f>
        <v>340.77135077804797</v>
      </c>
      <c r="T41" s="43">
        <f>$S$13/Assumptions!$J$26</f>
        <v>340.77135077804797</v>
      </c>
      <c r="U41" s="43">
        <f>$S$13/Assumptions!$J$26</f>
        <v>340.77135077804797</v>
      </c>
      <c r="V41" s="79">
        <f>$V$13/Assumptions!$K$26</f>
        <v>363.27929849693805</v>
      </c>
      <c r="W41" s="79">
        <f>$V$13/Assumptions!$K$26</f>
        <v>363.27929849693805</v>
      </c>
      <c r="X41" s="79">
        <f>$V$13/Assumptions!$K$26</f>
        <v>363.27929849693805</v>
      </c>
      <c r="Y41" s="43">
        <f>$Y$13/Assumptions!$L$26</f>
        <v>387.27389616266078</v>
      </c>
      <c r="Z41" s="43">
        <f>$Y$13/Assumptions!$L$26</f>
        <v>387.27389616266078</v>
      </c>
      <c r="AA41" s="43">
        <f>$Y$13/Assumptions!$L$26</f>
        <v>387.27389616266078</v>
      </c>
      <c r="AB41" s="79">
        <f>$AB$13/Assumptions!$M$26</f>
        <v>412.85333700420455</v>
      </c>
      <c r="AC41" s="79">
        <f>$AB$13/Assumptions!$M$26</f>
        <v>412.85333700420455</v>
      </c>
      <c r="AD41" s="79">
        <f>$AB$13/Assumptions!$M$26</f>
        <v>412.85333700420455</v>
      </c>
      <c r="AE41" s="43">
        <f>$AE$13/Assumptions!$N$26</f>
        <v>440.1222999133322</v>
      </c>
      <c r="AF41" s="43">
        <f>$AE$13/Assumptions!$N$26</f>
        <v>440.1222999133322</v>
      </c>
      <c r="AG41" s="43">
        <f>$AE$13/Assumptions!$N$26</f>
        <v>440.1222999133322</v>
      </c>
      <c r="AH41" s="79">
        <f>$AH$13/Assumptions!$O$26</f>
        <v>469.19237782260774</v>
      </c>
      <c r="AI41" s="79">
        <f>$AH$13/Assumptions!$O$26</f>
        <v>469.19237782260774</v>
      </c>
      <c r="AJ41" s="79">
        <f>$AH$13/Assumptions!$O$26</f>
        <v>469.19237782260774</v>
      </c>
      <c r="AK41" s="43">
        <f>$AK$13/Assumptions!$P$26</f>
        <v>500.18253437779094</v>
      </c>
      <c r="AL41" s="43">
        <f>$AK$13/Assumptions!$P$26</f>
        <v>500.18253437779094</v>
      </c>
      <c r="AM41" s="43">
        <f>$AK$13/Assumptions!$P$26</f>
        <v>500.18253437779094</v>
      </c>
      <c r="AN41" s="79">
        <f>$AN$13/Assumptions!$Q$26</f>
        <v>533.21959077344411</v>
      </c>
      <c r="AO41" s="79">
        <f>$AN$13/Assumptions!$Q$26</f>
        <v>533.21959077344411</v>
      </c>
      <c r="AP41" s="79">
        <f>$AN$13/Assumptions!$Q$26</f>
        <v>533.21959077344411</v>
      </c>
      <c r="AQ41" s="43">
        <f>$AQ$13/Assumptions!$R$26</f>
        <v>568.43874474403003</v>
      </c>
      <c r="AR41" s="43">
        <f>$AQ$13/Assumptions!$R$26</f>
        <v>568.43874474403003</v>
      </c>
      <c r="AS41" s="43">
        <f>$AQ$13/Assumptions!$R$26</f>
        <v>568.43874474403003</v>
      </c>
      <c r="AT41" s="79">
        <f>$AT$13/Assumptions!$S$26</f>
        <v>605.98412383437312</v>
      </c>
      <c r="AU41" s="79">
        <f>$AT$13/Assumptions!$S$26</f>
        <v>605.98412383437312</v>
      </c>
      <c r="AV41" s="79">
        <f>$AT$13/Assumptions!$S$26</f>
        <v>605.98412383437312</v>
      </c>
      <c r="AW41" s="43">
        <f>$AW$13/Assumptions!$T$26</f>
        <v>646.00937521363369</v>
      </c>
      <c r="AX41" s="43">
        <f>$AW$13/Assumptions!$T$26</f>
        <v>646.00937521363369</v>
      </c>
      <c r="AY41" s="43">
        <f>$AW$13/Assumptions!$T$26</f>
        <v>646.00937521363369</v>
      </c>
      <c r="AZ41" s="87">
        <f>$AZ$13/Assumptions!$U$26</f>
        <v>734.59018074292715</v>
      </c>
      <c r="BA41" s="70">
        <f>$AZ$13/Assumptions!$U$26</f>
        <v>734.59018074292715</v>
      </c>
      <c r="BB41" s="70">
        <f>$AZ$13/Assumptions!$U$26</f>
        <v>734.59018074292715</v>
      </c>
    </row>
    <row r="42" spans="1:54" x14ac:dyDescent="0.25">
      <c r="A42" s="30" t="s">
        <v>30</v>
      </c>
      <c r="B42" s="12"/>
      <c r="C42" s="12"/>
      <c r="D42" s="101">
        <f ca="1">D23</f>
        <v>1644.0771448578614</v>
      </c>
      <c r="E42" s="101">
        <f ca="1">D23</f>
        <v>1644.0771448578614</v>
      </c>
      <c r="F42" s="101">
        <f ca="1">D23</f>
        <v>1644.0771448578614</v>
      </c>
      <c r="G42" s="102">
        <f ca="1">$G$23</f>
        <v>2091.3101043572055</v>
      </c>
      <c r="H42" s="102">
        <f ca="1">$G$23</f>
        <v>2091.3101043572055</v>
      </c>
      <c r="I42" s="102">
        <f ca="1">$G$23</f>
        <v>2091.3101043572055</v>
      </c>
      <c r="J42" s="101">
        <f ca="1">$J$23</f>
        <v>2567.7648139515559</v>
      </c>
      <c r="K42" s="101">
        <f ca="1">$J$23</f>
        <v>2567.7648139515559</v>
      </c>
      <c r="L42" s="101">
        <f ca="1">$J$23</f>
        <v>2567.7648139515559</v>
      </c>
      <c r="M42" s="102">
        <f ca="1">$M$23</f>
        <v>3075.3517574997336</v>
      </c>
      <c r="N42" s="102">
        <f ca="1">$M$23</f>
        <v>3075.3517574997336</v>
      </c>
      <c r="O42" s="102">
        <f ca="1">$M$23</f>
        <v>3075.3517574997336</v>
      </c>
      <c r="P42" s="101">
        <f ca="1">$P$23</f>
        <v>3616.1063966488564</v>
      </c>
      <c r="Q42" s="101">
        <f ca="1">$P$23</f>
        <v>3616.1063966488564</v>
      </c>
      <c r="R42" s="101">
        <f ca="1">$P$23</f>
        <v>3616.1063966488564</v>
      </c>
      <c r="S42" s="102">
        <f ca="1">$S$23</f>
        <v>4192.1973510074213</v>
      </c>
      <c r="T42" s="102">
        <f ca="1">$S$23</f>
        <v>4192.1973510074213</v>
      </c>
      <c r="U42" s="102">
        <f ca="1">$S$23</f>
        <v>4192.1973510074213</v>
      </c>
      <c r="V42" s="101">
        <f ca="1">$V$23</f>
        <v>4805.9351140170538</v>
      </c>
      <c r="W42" s="101">
        <f ca="1">$V$23</f>
        <v>4805.9351140170538</v>
      </c>
      <c r="X42" s="101">
        <f ca="1">$V$23</f>
        <v>4805.9351140170538</v>
      </c>
      <c r="Y42" s="102">
        <f ca="1">$Y$23</f>
        <v>5459.7813396219826</v>
      </c>
      <c r="Z42" s="102">
        <f ca="1">$Y$23</f>
        <v>5459.7813396219826</v>
      </c>
      <c r="AA42" s="102">
        <f ca="1">$Y$23</f>
        <v>5459.7813396219826</v>
      </c>
      <c r="AB42" s="101">
        <f ca="1">$AB$23</f>
        <v>6156.3587371360863</v>
      </c>
      <c r="AC42" s="101">
        <f ca="1">$AB$23</f>
        <v>6156.3587371360863</v>
      </c>
      <c r="AD42" s="101">
        <f ca="1">$AB$23</f>
        <v>6156.3587371360863</v>
      </c>
      <c r="AE42" s="102">
        <f ca="1">$AE$23</f>
        <v>6898.4616141590877</v>
      </c>
      <c r="AF42" s="102">
        <f ca="1">$AE$23</f>
        <v>6898.4616141590877</v>
      </c>
      <c r="AG42" s="102">
        <f ca="1">$AE$23</f>
        <v>6898.4616141590877</v>
      </c>
      <c r="AH42" s="101">
        <f ca="1">$AH$23</f>
        <v>7689.067110005838</v>
      </c>
      <c r="AI42" s="101">
        <f ca="1">$AH$23</f>
        <v>7689.067110005838</v>
      </c>
      <c r="AJ42" s="101">
        <f ca="1">$AH$23</f>
        <v>7689.067110005838</v>
      </c>
      <c r="AK42" s="102">
        <f ca="1">$AK$23</f>
        <v>8531.3471648965333</v>
      </c>
      <c r="AL42" s="102">
        <f ca="1">$AK$23</f>
        <v>8531.3471648965333</v>
      </c>
      <c r="AM42" s="102">
        <f ca="1">$AK$23</f>
        <v>8531.3471648965333</v>
      </c>
      <c r="AN42" s="101">
        <f ca="1">$AN$23</f>
        <v>9428.6812731219525</v>
      </c>
      <c r="AO42" s="101">
        <f ca="1">$AN$23</f>
        <v>9428.6812731219525</v>
      </c>
      <c r="AP42" s="101">
        <f ca="1">$AN$23</f>
        <v>9428.6812731219525</v>
      </c>
      <c r="AQ42" s="102">
        <f ca="1">$AQ$23</f>
        <v>10384.670071558949</v>
      </c>
      <c r="AR42" s="102">
        <f ca="1">$AQ$23</f>
        <v>10384.670071558949</v>
      </c>
      <c r="AS42" s="102">
        <f ca="1">$AQ$23</f>
        <v>10384.670071558949</v>
      </c>
      <c r="AT42" s="101">
        <f ca="1">$AT$23</f>
        <v>11403.149818279355</v>
      </c>
      <c r="AU42" s="101">
        <f ca="1">$AT$23</f>
        <v>11403.149818279355</v>
      </c>
      <c r="AV42" s="101">
        <f ca="1">$AT$23</f>
        <v>11403.149818279355</v>
      </c>
      <c r="AW42" s="102">
        <f ca="1">$AW$23</f>
        <v>12409.487504894147</v>
      </c>
      <c r="AX42" s="102">
        <f ca="1">$AW$23</f>
        <v>12409.487504894147</v>
      </c>
      <c r="AY42" s="102">
        <f ca="1">$AW$23</f>
        <v>12409.487504894147</v>
      </c>
      <c r="AZ42" s="104">
        <f ca="1">$AZ$23</f>
        <v>14438.793231565238</v>
      </c>
      <c r="BA42" s="82">
        <f ca="1">$AZ$23</f>
        <v>14438.793231565238</v>
      </c>
      <c r="BB42" s="82">
        <f ca="1">$AZ$23</f>
        <v>14438.793231565238</v>
      </c>
    </row>
    <row r="43" spans="1:54" x14ac:dyDescent="0.25">
      <c r="A43" s="31" t="s">
        <v>31</v>
      </c>
      <c r="B43" s="12"/>
      <c r="C43" s="12"/>
      <c r="D43" s="63">
        <f ca="1">SUM(D40:D42)</f>
        <v>2746.5771448578616</v>
      </c>
      <c r="E43" s="63">
        <f ca="1">SUM(E40:E42)</f>
        <v>2746.5771448578616</v>
      </c>
      <c r="F43" s="63">
        <f ca="1">SUM(F40:F42)</f>
        <v>2746.5771448578616</v>
      </c>
      <c r="G43" s="32">
        <f t="shared" ref="G43:M43" ca="1" si="33">SUM(G40:G42)</f>
        <v>3266.6302293572053</v>
      </c>
      <c r="H43" s="32">
        <f t="shared" ref="H43:I43" ca="1" si="34">SUM(H40:H42)</f>
        <v>3266.6302293572053</v>
      </c>
      <c r="I43" s="32">
        <f t="shared" ca="1" si="34"/>
        <v>3266.6302293572053</v>
      </c>
      <c r="J43" s="63">
        <f t="shared" ca="1" si="33"/>
        <v>3820.7148332078059</v>
      </c>
      <c r="K43" s="63">
        <f t="shared" ref="K43:L43" ca="1" si="35">SUM(K40:K42)</f>
        <v>3820.7148332078059</v>
      </c>
      <c r="L43" s="63">
        <f t="shared" ca="1" si="35"/>
        <v>3820.7148332078059</v>
      </c>
      <c r="M43" s="32">
        <f t="shared" ca="1" si="33"/>
        <v>4411.0591255278587</v>
      </c>
      <c r="N43" s="32">
        <f t="shared" ref="N43:O43" ca="1" si="36">SUM(N40:N42)</f>
        <v>4411.0591255278587</v>
      </c>
      <c r="O43" s="32">
        <f t="shared" ca="1" si="36"/>
        <v>4411.0591255278587</v>
      </c>
      <c r="P43" s="63">
        <f t="shared" ref="P43:AZ43" ca="1" si="37">SUM(P40:P42)</f>
        <v>5040.037236335239</v>
      </c>
      <c r="Q43" s="63">
        <f t="shared" ref="Q43:R43" ca="1" si="38">SUM(Q40:Q42)</f>
        <v>5040.037236335239</v>
      </c>
      <c r="R43" s="63">
        <f t="shared" ca="1" si="38"/>
        <v>5040.037236335239</v>
      </c>
      <c r="S43" s="32">
        <f t="shared" ca="1" si="37"/>
        <v>5710.1788226550889</v>
      </c>
      <c r="T43" s="32">
        <f t="shared" ref="T43:U43" ca="1" si="39">SUM(T40:T42)</f>
        <v>5710.1788226550889</v>
      </c>
      <c r="U43" s="32">
        <f t="shared" ca="1" si="39"/>
        <v>5710.1788226550889</v>
      </c>
      <c r="V43" s="63">
        <f t="shared" ca="1" si="37"/>
        <v>6424.1792618670506</v>
      </c>
      <c r="W43" s="63">
        <f t="shared" ref="W43:X43" ca="1" si="40">SUM(W40:W42)</f>
        <v>6424.1792618670506</v>
      </c>
      <c r="X43" s="63">
        <f t="shared" ca="1" si="40"/>
        <v>6424.1792618670506</v>
      </c>
      <c r="Y43" s="32">
        <f t="shared" ca="1" si="37"/>
        <v>7184.9105134374713</v>
      </c>
      <c r="Z43" s="32">
        <f t="shared" ref="Z43:AA43" ca="1" si="41">SUM(Z40:Z42)</f>
        <v>7184.9105134374713</v>
      </c>
      <c r="AA43" s="32">
        <f t="shared" ca="1" si="41"/>
        <v>7184.9105134374713</v>
      </c>
      <c r="AB43" s="63">
        <f t="shared" ca="1" si="37"/>
        <v>7995.4326928820883</v>
      </c>
      <c r="AC43" s="63">
        <f t="shared" ref="AC43:AD43" ca="1" si="42">SUM(AC40:AC42)</f>
        <v>7995.4326928820883</v>
      </c>
      <c r="AD43" s="63">
        <f t="shared" ca="1" si="42"/>
        <v>7995.4326928820883</v>
      </c>
      <c r="AE43" s="32">
        <f t="shared" ca="1" si="37"/>
        <v>8859.0064046821135</v>
      </c>
      <c r="AF43" s="32">
        <f t="shared" ref="AF43:AG43" ca="1" si="43">SUM(AF40:AF42)</f>
        <v>8859.0064046821135</v>
      </c>
      <c r="AG43" s="32">
        <f t="shared" ca="1" si="43"/>
        <v>8859.0064046821135</v>
      </c>
      <c r="AH43" s="63">
        <f ca="1">SUM(AH40:AH42)</f>
        <v>9779.1058839429097</v>
      </c>
      <c r="AI43" s="63">
        <f t="shared" ref="AI43:AJ43" ca="1" si="44">SUM(AI40:AI42)</f>
        <v>9779.1058839429097</v>
      </c>
      <c r="AJ43" s="63">
        <f t="shared" ca="1" si="44"/>
        <v>9779.1058839429097</v>
      </c>
      <c r="AK43" s="32">
        <f t="shared" ca="1" si="37"/>
        <v>10759.432999852148</v>
      </c>
      <c r="AL43" s="32">
        <f t="shared" ref="AL43:AM43" ca="1" si="45">SUM(AL40:AL42)</f>
        <v>10759.432999852148</v>
      </c>
      <c r="AM43" s="32">
        <f t="shared" ca="1" si="45"/>
        <v>10759.432999852148</v>
      </c>
      <c r="AN43" s="63">
        <f t="shared" ca="1" si="37"/>
        <v>11803.932177476385</v>
      </c>
      <c r="AO43" s="63">
        <f t="shared" ref="AO43:AP43" ca="1" si="46">SUM(AO40:AO42)</f>
        <v>11803.932177476385</v>
      </c>
      <c r="AP43" s="63">
        <f t="shared" ca="1" si="46"/>
        <v>11803.932177476385</v>
      </c>
      <c r="AQ43" s="32">
        <f t="shared" ca="1" si="37"/>
        <v>12916.806298145992</v>
      </c>
      <c r="AR43" s="32">
        <f t="shared" ref="AR43:AS43" ca="1" si="47">SUM(AR40:AR42)</f>
        <v>12916.806298145992</v>
      </c>
      <c r="AS43" s="32">
        <f t="shared" ca="1" si="47"/>
        <v>12916.806298145992</v>
      </c>
      <c r="AT43" s="63">
        <f t="shared" ca="1" si="37"/>
        <v>14102.533642632472</v>
      </c>
      <c r="AU43" s="63">
        <f t="shared" ref="AU43:AV43" ca="1" si="48">SUM(AU40:AU42)</f>
        <v>14102.533642632472</v>
      </c>
      <c r="AV43" s="63">
        <f t="shared" ca="1" si="48"/>
        <v>14102.533642632472</v>
      </c>
      <c r="AW43" s="32">
        <f t="shared" ca="1" si="37"/>
        <v>15287.165630845788</v>
      </c>
      <c r="AX43" s="32">
        <f t="shared" ref="AX43:AY43" ca="1" si="49">SUM(AX40:AX42)</f>
        <v>15287.165630845788</v>
      </c>
      <c r="AY43" s="32">
        <f t="shared" ca="1" si="49"/>
        <v>15287.165630845788</v>
      </c>
      <c r="AZ43" s="70">
        <f t="shared" ca="1" si="37"/>
        <v>17711.058582147369</v>
      </c>
      <c r="BA43" s="70">
        <f t="shared" ref="BA43:BB43" ca="1" si="50">SUM(BA40:BA42)</f>
        <v>17711.058582147369</v>
      </c>
      <c r="BB43" s="70">
        <f t="shared" ca="1" si="50"/>
        <v>17711.058582147369</v>
      </c>
    </row>
    <row r="44" spans="1:54" x14ac:dyDescent="0.25">
      <c r="A44" s="34"/>
      <c r="B44" s="12"/>
      <c r="C44" s="12"/>
      <c r="D44" s="63"/>
      <c r="E44" s="63"/>
      <c r="F44" s="63"/>
      <c r="G44" s="12"/>
      <c r="H44" s="12"/>
      <c r="I44" s="12"/>
      <c r="J44" s="62"/>
      <c r="K44" s="62"/>
      <c r="L44" s="62"/>
      <c r="M44" s="12"/>
      <c r="N44" s="12"/>
      <c r="O44" s="12"/>
      <c r="P44" s="62"/>
      <c r="Q44" s="62"/>
      <c r="R44" s="62"/>
      <c r="S44" s="12"/>
      <c r="T44" s="12"/>
      <c r="U44" s="12"/>
      <c r="V44" s="62"/>
      <c r="W44" s="62"/>
      <c r="X44" s="62"/>
      <c r="Y44" s="12"/>
      <c r="Z44" s="12"/>
      <c r="AA44" s="12"/>
      <c r="AB44" s="62"/>
      <c r="AC44" s="62"/>
      <c r="AD44" s="62"/>
      <c r="AE44" s="12"/>
      <c r="AF44" s="12"/>
      <c r="AG44" s="12"/>
      <c r="AH44" s="62"/>
      <c r="AI44" s="62"/>
      <c r="AJ44" s="62"/>
      <c r="AK44" s="12"/>
      <c r="AL44" s="12"/>
      <c r="AM44" s="12"/>
      <c r="AN44" s="62"/>
      <c r="AO44" s="62"/>
      <c r="AP44" s="62"/>
      <c r="AQ44" s="12"/>
      <c r="AR44" s="12"/>
      <c r="AS44" s="12"/>
      <c r="AT44" s="62"/>
      <c r="AU44" s="62"/>
      <c r="AV44" s="62"/>
      <c r="AW44" s="12"/>
      <c r="AX44" s="12"/>
      <c r="AY44" s="12"/>
      <c r="AZ44" s="69"/>
      <c r="BA44" s="69"/>
      <c r="BB44" s="69"/>
    </row>
    <row r="45" spans="1:54" s="22" customFormat="1" x14ac:dyDescent="0.25">
      <c r="A45" s="35" t="s">
        <v>32</v>
      </c>
      <c r="B45" s="36"/>
      <c r="C45" s="36"/>
      <c r="D45" s="76">
        <f>Mortgage!F13</f>
        <v>133104.08238386255</v>
      </c>
      <c r="E45" s="76">
        <f>Mortgage!F13</f>
        <v>133104.08238386255</v>
      </c>
      <c r="F45" s="76">
        <f>Mortgage!F13</f>
        <v>133104.08238386255</v>
      </c>
      <c r="G45" s="37">
        <f>Mortgage!$F$27</f>
        <v>126844.51747022837</v>
      </c>
      <c r="H45" s="37">
        <f>Mortgage!$F$27</f>
        <v>126844.51747022837</v>
      </c>
      <c r="I45" s="37">
        <f>Mortgage!$F$27</f>
        <v>126844.51747022837</v>
      </c>
      <c r="J45" s="76">
        <f>Mortgage!$F$41</f>
        <v>120198.87628949741</v>
      </c>
      <c r="K45" s="76">
        <f>Mortgage!$F$41</f>
        <v>120198.87628949741</v>
      </c>
      <c r="L45" s="76">
        <f>Mortgage!$F$41</f>
        <v>120198.87628949741</v>
      </c>
      <c r="M45" s="37">
        <f>Mortgage!$F$55</f>
        <v>113143.34650230237</v>
      </c>
      <c r="N45" s="37">
        <f>Mortgage!$F$55</f>
        <v>113143.34650230237</v>
      </c>
      <c r="O45" s="37">
        <f>Mortgage!$F$55</f>
        <v>113143.34650230237</v>
      </c>
      <c r="P45" s="76">
        <f>Mortgage!$F$69</f>
        <v>105652.64707628834</v>
      </c>
      <c r="Q45" s="76">
        <f>Mortgage!$F$69</f>
        <v>105652.64707628834</v>
      </c>
      <c r="R45" s="76">
        <f>Mortgage!$F$69</f>
        <v>105652.64707628834</v>
      </c>
      <c r="S45" s="37">
        <f>Mortgage!$F$83</f>
        <v>97699.937700343129</v>
      </c>
      <c r="T45" s="37">
        <f>Mortgage!$F$83</f>
        <v>97699.937700343129</v>
      </c>
      <c r="U45" s="37">
        <f>Mortgage!$F$83</f>
        <v>97699.937700343129</v>
      </c>
      <c r="V45" s="76">
        <f>Mortgage!$F$97</f>
        <v>89256.722611695295</v>
      </c>
      <c r="W45" s="76">
        <f>Mortgage!$F$97</f>
        <v>89256.722611695295</v>
      </c>
      <c r="X45" s="76">
        <f>Mortgage!$F$97</f>
        <v>89256.722611695295</v>
      </c>
      <c r="Y45" s="37">
        <f>Mortgage!$F$111</f>
        <v>80292.74849127834</v>
      </c>
      <c r="Z45" s="37">
        <f>Mortgage!$F$111</f>
        <v>80292.74849127834</v>
      </c>
      <c r="AA45" s="37">
        <f>Mortgage!$F$111</f>
        <v>80292.74849127834</v>
      </c>
      <c r="AB45" s="76">
        <f>Mortgage!$F$125</f>
        <v>70775.896061504041</v>
      </c>
      <c r="AC45" s="76">
        <f>Mortgage!$F$125</f>
        <v>70775.896061504041</v>
      </c>
      <c r="AD45" s="76">
        <f>Mortgage!$F$125</f>
        <v>70775.896061504041</v>
      </c>
      <c r="AE45" s="37">
        <f>Mortgage!$F$139</f>
        <v>60672.064998023947</v>
      </c>
      <c r="AF45" s="37">
        <f>Mortgage!$F$139</f>
        <v>60672.064998023947</v>
      </c>
      <c r="AG45" s="37">
        <f>Mortgage!$F$139</f>
        <v>60672.064998023947</v>
      </c>
      <c r="AH45" s="76">
        <f>Mortgage!$F$153</f>
        <v>49945.051743099852</v>
      </c>
      <c r="AI45" s="76">
        <f>Mortgage!$F$153</f>
        <v>49945.051743099852</v>
      </c>
      <c r="AJ45" s="76">
        <f>Mortgage!$F$153</f>
        <v>49945.051743099852</v>
      </c>
      <c r="AK45" s="37">
        <f>Mortgage!$F$167</f>
        <v>38556.41978277055</v>
      </c>
      <c r="AL45" s="37">
        <f>Mortgage!$F$167</f>
        <v>38556.41978277055</v>
      </c>
      <c r="AM45" s="37">
        <f>Mortgage!$F$167</f>
        <v>38556.41978277055</v>
      </c>
      <c r="AN45" s="76">
        <f>Mortgage!$F$181</f>
        <v>26465.361922998025</v>
      </c>
      <c r="AO45" s="76">
        <f>Mortgage!$F$181</f>
        <v>26465.361922998025</v>
      </c>
      <c r="AP45" s="76">
        <f>Mortgage!$F$181</f>
        <v>26465.361922998025</v>
      </c>
      <c r="AQ45" s="37">
        <f>Mortgage!$F$195</f>
        <v>13628.554071307677</v>
      </c>
      <c r="AR45" s="37">
        <f>Mortgage!$F$195</f>
        <v>13628.554071307677</v>
      </c>
      <c r="AS45" s="37">
        <f>Mortgage!$F$195</f>
        <v>13628.554071307677</v>
      </c>
      <c r="AT45" s="76">
        <f>Mortgage!$C$211</f>
        <v>0</v>
      </c>
      <c r="AU45" s="76">
        <f>Mortgage!$C$211</f>
        <v>0</v>
      </c>
      <c r="AV45" s="76">
        <f>Mortgage!$C$211</f>
        <v>0</v>
      </c>
      <c r="AW45" s="37">
        <f>Mortgage!$C$212</f>
        <v>0</v>
      </c>
      <c r="AX45" s="37">
        <f>Mortgage!$C$212</f>
        <v>0</v>
      </c>
      <c r="AY45" s="37">
        <f>Mortgage!$C$212</f>
        <v>0</v>
      </c>
      <c r="AZ45" s="83">
        <f>Mortgage!$C$213</f>
        <v>0</v>
      </c>
      <c r="BA45" s="83">
        <f>Mortgage!$C$213</f>
        <v>0</v>
      </c>
      <c r="BB45" s="83">
        <f>Mortgage!$C$213</f>
        <v>0</v>
      </c>
    </row>
    <row r="46" spans="1:54" s="22" customFormat="1" x14ac:dyDescent="0.25">
      <c r="A46" s="35" t="s">
        <v>33</v>
      </c>
      <c r="B46" s="36"/>
      <c r="C46" s="36"/>
      <c r="D46" s="101">
        <f ca="1">IF(E53&gt;0,E53,0)</f>
        <v>0</v>
      </c>
      <c r="E46" s="101"/>
      <c r="F46" s="101"/>
      <c r="G46" s="103">
        <f ca="1">IF(H53&gt;0,H53,0)</f>
        <v>0</v>
      </c>
      <c r="H46" s="103">
        <f>IF(J53&gt;0,J53,0)</f>
        <v>0</v>
      </c>
      <c r="I46" s="103">
        <f ca="1">IF(K53&gt;0,K53,0)</f>
        <v>0</v>
      </c>
      <c r="J46" s="101">
        <f ca="1">IF(K53&gt;0,K53,0)</f>
        <v>0</v>
      </c>
      <c r="K46" s="101"/>
      <c r="L46" s="101"/>
      <c r="M46" s="103">
        <f ca="1">IF(N53&gt;0,N53,0)</f>
        <v>0</v>
      </c>
      <c r="N46" s="103">
        <v>0</v>
      </c>
      <c r="O46" s="103">
        <v>0</v>
      </c>
      <c r="P46" s="101">
        <f ca="1">IF(Q53&gt;0,Q53,0)</f>
        <v>0</v>
      </c>
      <c r="Q46" s="101"/>
      <c r="R46" s="101"/>
      <c r="S46" s="103">
        <f ca="1">IF(T53&gt;0,T53,0)</f>
        <v>0</v>
      </c>
      <c r="T46" s="103">
        <v>0</v>
      </c>
      <c r="U46" s="103">
        <v>0</v>
      </c>
      <c r="V46" s="101">
        <f ca="1">IF(W53&gt;0,W53,0)</f>
        <v>0</v>
      </c>
      <c r="W46" s="101"/>
      <c r="X46" s="101"/>
      <c r="Y46" s="103">
        <f ca="1">IF(Z53&gt;0,Z53,0)</f>
        <v>0</v>
      </c>
      <c r="Z46" s="103"/>
      <c r="AA46" s="103"/>
      <c r="AB46" s="101">
        <f ca="1">IF(AC53&gt;0,AC53,0)</f>
        <v>0</v>
      </c>
      <c r="AC46" s="101"/>
      <c r="AD46" s="101"/>
      <c r="AE46" s="103">
        <f ca="1">IF(AF53&gt;0,AF53,0)</f>
        <v>0</v>
      </c>
      <c r="AF46" s="103"/>
      <c r="AG46" s="103"/>
      <c r="AH46" s="101">
        <f ca="1">IF(AI53&gt;0,AI53,0)</f>
        <v>0</v>
      </c>
      <c r="AI46" s="101"/>
      <c r="AJ46" s="101"/>
      <c r="AK46" s="103">
        <f ca="1">IF(AL53&gt;0,AL53,0)</f>
        <v>0</v>
      </c>
      <c r="AL46" s="103"/>
      <c r="AM46" s="103"/>
      <c r="AN46" s="101">
        <f ca="1">IF(AO53&gt;0,AO53,0)</f>
        <v>0</v>
      </c>
      <c r="AO46" s="101"/>
      <c r="AP46" s="101"/>
      <c r="AQ46" s="103">
        <f ca="1">IF(AR53&gt;0,AR53,0)</f>
        <v>0</v>
      </c>
      <c r="AR46" s="103"/>
      <c r="AS46" s="103"/>
      <c r="AT46" s="101">
        <f ca="1">IF(AU53&gt;0,AU53,0)</f>
        <v>0</v>
      </c>
      <c r="AU46" s="101"/>
      <c r="AV46" s="101"/>
      <c r="AW46" s="103">
        <f ca="1">IF(AX53&gt;0,AX53,0)</f>
        <v>0</v>
      </c>
      <c r="AX46" s="103"/>
      <c r="AY46" s="103"/>
      <c r="AZ46" s="104">
        <f ca="1">IF(BA53&gt;0,BA53,0)</f>
        <v>0</v>
      </c>
      <c r="BA46" s="86"/>
      <c r="BB46" s="86"/>
    </row>
    <row r="47" spans="1:54" s="22" customFormat="1" x14ac:dyDescent="0.25">
      <c r="A47" s="42" t="s">
        <v>34</v>
      </c>
      <c r="B47" s="36"/>
      <c r="C47" s="36"/>
      <c r="D47" s="63">
        <f t="shared" ref="D47:O47" ca="1" si="51">SUM(D43:D46)</f>
        <v>135850.65952872043</v>
      </c>
      <c r="E47" s="63">
        <f t="shared" ca="1" si="51"/>
        <v>135850.65952872043</v>
      </c>
      <c r="F47" s="63">
        <f t="shared" ca="1" si="51"/>
        <v>135850.65952872043</v>
      </c>
      <c r="G47" s="38">
        <f t="shared" ca="1" si="51"/>
        <v>130111.14769958558</v>
      </c>
      <c r="H47" s="38">
        <f t="shared" ca="1" si="51"/>
        <v>130111.14769958558</v>
      </c>
      <c r="I47" s="38">
        <f t="shared" ca="1" si="51"/>
        <v>130111.14769958558</v>
      </c>
      <c r="J47" s="63">
        <f t="shared" ca="1" si="51"/>
        <v>124019.59112270521</v>
      </c>
      <c r="K47" s="63">
        <f t="shared" ca="1" si="51"/>
        <v>124019.59112270521</v>
      </c>
      <c r="L47" s="63">
        <f t="shared" ca="1" si="51"/>
        <v>124019.59112270521</v>
      </c>
      <c r="M47" s="38">
        <f t="shared" ca="1" si="51"/>
        <v>117554.40562783023</v>
      </c>
      <c r="N47" s="38">
        <f t="shared" ca="1" si="51"/>
        <v>117554.40562783023</v>
      </c>
      <c r="O47" s="38">
        <f t="shared" ca="1" si="51"/>
        <v>117554.40562783023</v>
      </c>
      <c r="P47" s="63">
        <f ca="1">SUM(P43:P46)</f>
        <v>110692.68431262358</v>
      </c>
      <c r="Q47" s="63">
        <f ca="1">SUM(Q43:Q46)</f>
        <v>110692.68431262358</v>
      </c>
      <c r="R47" s="63">
        <f ca="1">SUM(R43:R46)</f>
        <v>110692.68431262358</v>
      </c>
      <c r="S47" s="38">
        <f t="shared" ref="S47:AZ47" ca="1" si="52">SUM(S43:S46)</f>
        <v>103410.11652299821</v>
      </c>
      <c r="T47" s="38">
        <f t="shared" ref="T47:U47" ca="1" si="53">SUM(T43:T46)</f>
        <v>103410.11652299821</v>
      </c>
      <c r="U47" s="38">
        <f t="shared" ca="1" si="53"/>
        <v>103410.11652299821</v>
      </c>
      <c r="V47" s="63">
        <f t="shared" ca="1" si="52"/>
        <v>95680.901873562339</v>
      </c>
      <c r="W47" s="63">
        <f t="shared" ref="W47:X47" ca="1" si="54">SUM(W43:W46)</f>
        <v>95680.901873562339</v>
      </c>
      <c r="X47" s="63">
        <f t="shared" ca="1" si="54"/>
        <v>95680.901873562339</v>
      </c>
      <c r="Y47" s="38">
        <f t="shared" ca="1" si="52"/>
        <v>87477.65900471581</v>
      </c>
      <c r="Z47" s="38">
        <f t="shared" ref="Z47:AA47" ca="1" si="55">SUM(Z43:Z46)</f>
        <v>87477.65900471581</v>
      </c>
      <c r="AA47" s="38">
        <f t="shared" ca="1" si="55"/>
        <v>87477.65900471581</v>
      </c>
      <c r="AB47" s="63">
        <f t="shared" ca="1" si="52"/>
        <v>78771.328754386137</v>
      </c>
      <c r="AC47" s="63">
        <f t="shared" ref="AC47:AD47" ca="1" si="56">SUM(AC43:AC46)</f>
        <v>78771.328754386137</v>
      </c>
      <c r="AD47" s="63">
        <f t="shared" ca="1" si="56"/>
        <v>78771.328754386137</v>
      </c>
      <c r="AE47" s="38">
        <f t="shared" ca="1" si="52"/>
        <v>69531.07140270606</v>
      </c>
      <c r="AF47" s="38">
        <f t="shared" ref="AF47:AG47" ca="1" si="57">SUM(AF43:AF46)</f>
        <v>69531.07140270606</v>
      </c>
      <c r="AG47" s="38">
        <f t="shared" ca="1" si="57"/>
        <v>69531.07140270606</v>
      </c>
      <c r="AH47" s="63">
        <f ca="1">SUM(AH43:AH46)</f>
        <v>59724.157627042761</v>
      </c>
      <c r="AI47" s="63">
        <f ca="1">SUM(AI43:AI46)</f>
        <v>59724.157627042761</v>
      </c>
      <c r="AJ47" s="63">
        <f t="shared" ref="AJ47" ca="1" si="58">SUM(AJ43:AJ46)</f>
        <v>59724.157627042761</v>
      </c>
      <c r="AK47" s="38">
        <f t="shared" ca="1" si="52"/>
        <v>49315.8527826227</v>
      </c>
      <c r="AL47" s="38">
        <f t="shared" ref="AL47:AM47" ca="1" si="59">SUM(AL43:AL46)</f>
        <v>49315.8527826227</v>
      </c>
      <c r="AM47" s="38">
        <f t="shared" ca="1" si="59"/>
        <v>49315.8527826227</v>
      </c>
      <c r="AN47" s="63">
        <f t="shared" ca="1" si="52"/>
        <v>38269.294100474406</v>
      </c>
      <c r="AO47" s="63">
        <f t="shared" ref="AO47:AP47" ca="1" si="60">SUM(AO43:AO46)</f>
        <v>38269.294100474406</v>
      </c>
      <c r="AP47" s="63">
        <f t="shared" ca="1" si="60"/>
        <v>38269.294100474406</v>
      </c>
      <c r="AQ47" s="38">
        <f t="shared" ca="1" si="52"/>
        <v>26545.360369453669</v>
      </c>
      <c r="AR47" s="38">
        <f t="shared" ref="AR47:AS47" ca="1" si="61">SUM(AR43:AR46)</f>
        <v>26545.360369453669</v>
      </c>
      <c r="AS47" s="38">
        <f t="shared" ca="1" si="61"/>
        <v>26545.360369453669</v>
      </c>
      <c r="AT47" s="63">
        <f ca="1">SUM(AT43:AT46)</f>
        <v>14102.533642632472</v>
      </c>
      <c r="AU47" s="63">
        <f ca="1">SUM(AU43:AU46)</f>
        <v>14102.533642632472</v>
      </c>
      <c r="AV47" s="63">
        <f ca="1">SUM(AV43:AV46)</f>
        <v>14102.533642632472</v>
      </c>
      <c r="AW47" s="38">
        <f t="shared" ca="1" si="52"/>
        <v>15287.165630845788</v>
      </c>
      <c r="AX47" s="38">
        <f t="shared" ref="AX47:AY47" ca="1" si="62">SUM(AX43:AX46)</f>
        <v>15287.165630845788</v>
      </c>
      <c r="AY47" s="38">
        <f t="shared" ca="1" si="62"/>
        <v>15287.165630845788</v>
      </c>
      <c r="AZ47" s="70">
        <f t="shared" ca="1" si="52"/>
        <v>17711.058582147369</v>
      </c>
      <c r="BA47" s="70">
        <f t="shared" ref="BA47:BB47" ca="1" si="63">SUM(BA43:BA46)</f>
        <v>17711.058582147369</v>
      </c>
      <c r="BB47" s="70">
        <f t="shared" ca="1" si="63"/>
        <v>17711.058582147369</v>
      </c>
    </row>
    <row r="48" spans="1:54" s="22" customFormat="1" x14ac:dyDescent="0.25">
      <c r="A48" s="89" t="s">
        <v>35</v>
      </c>
      <c r="B48" s="36"/>
      <c r="C48" s="36"/>
      <c r="D48" s="62"/>
      <c r="E48" s="62"/>
      <c r="F48" s="62"/>
      <c r="G48" s="36"/>
      <c r="H48" s="36"/>
      <c r="I48" s="36"/>
      <c r="J48" s="62"/>
      <c r="K48" s="62"/>
      <c r="L48" s="62"/>
      <c r="M48" s="36"/>
      <c r="N48" s="36"/>
      <c r="O48" s="36"/>
      <c r="P48" s="62"/>
      <c r="Q48" s="62"/>
      <c r="R48" s="62"/>
      <c r="S48" s="36"/>
      <c r="T48" s="36"/>
      <c r="U48" s="36"/>
      <c r="V48" s="62"/>
      <c r="W48" s="62"/>
      <c r="X48" s="62"/>
      <c r="Y48" s="36"/>
      <c r="Z48" s="36"/>
      <c r="AA48" s="36"/>
      <c r="AB48" s="62"/>
      <c r="AC48" s="62"/>
      <c r="AD48" s="62"/>
      <c r="AE48" s="36"/>
      <c r="AF48" s="36"/>
      <c r="AG48" s="36"/>
      <c r="AH48" s="62"/>
      <c r="AI48" s="62"/>
      <c r="AJ48" s="62"/>
      <c r="AK48" s="36"/>
      <c r="AL48" s="36"/>
      <c r="AM48" s="36"/>
      <c r="AN48" s="62"/>
      <c r="AO48" s="62"/>
      <c r="AP48" s="62"/>
      <c r="AQ48" s="36"/>
      <c r="AR48" s="36"/>
      <c r="AS48" s="36"/>
      <c r="AT48" s="62"/>
      <c r="AU48" s="62"/>
      <c r="AV48" s="62"/>
      <c r="AW48" s="36"/>
      <c r="AX48" s="36"/>
      <c r="AY48" s="36"/>
      <c r="AZ48" s="69"/>
      <c r="BA48" s="69"/>
      <c r="BB48" s="69"/>
    </row>
    <row r="49" spans="1:54" s="22" customFormat="1" x14ac:dyDescent="0.25">
      <c r="A49" s="35" t="s">
        <v>36</v>
      </c>
      <c r="B49" s="36"/>
      <c r="C49" s="36"/>
      <c r="D49" s="79">
        <f>Assumptions!E31</f>
        <v>100000</v>
      </c>
      <c r="E49" s="79">
        <f>Assumptions!F31</f>
        <v>100000</v>
      </c>
      <c r="F49" s="79">
        <f>Assumptions!F31</f>
        <v>100000</v>
      </c>
      <c r="G49" s="98">
        <f>Assumptions!$F$31</f>
        <v>100000</v>
      </c>
      <c r="H49" s="98">
        <f>Assumptions!$F$31</f>
        <v>100000</v>
      </c>
      <c r="I49" s="98">
        <f>Assumptions!$F$31</f>
        <v>100000</v>
      </c>
      <c r="J49" s="79">
        <f>Assumptions!$G$31</f>
        <v>100000</v>
      </c>
      <c r="K49" s="79">
        <f>Assumptions!$G$31</f>
        <v>100000</v>
      </c>
      <c r="L49" s="79">
        <f>Assumptions!$G$31</f>
        <v>100000</v>
      </c>
      <c r="M49" s="98">
        <f>Assumptions!$H$31</f>
        <v>100000</v>
      </c>
      <c r="N49" s="98">
        <f>Assumptions!$H$31</f>
        <v>100000</v>
      </c>
      <c r="O49" s="98">
        <f>Assumptions!$H$31</f>
        <v>100000</v>
      </c>
      <c r="P49" s="79">
        <f>Assumptions!$I$31</f>
        <v>100000</v>
      </c>
      <c r="Q49" s="79">
        <f>Assumptions!$I$31</f>
        <v>100000</v>
      </c>
      <c r="R49" s="79">
        <f>Assumptions!$I$31</f>
        <v>100000</v>
      </c>
      <c r="S49" s="98">
        <f>Assumptions!$J$31</f>
        <v>100000</v>
      </c>
      <c r="T49" s="98">
        <f>Assumptions!$J$31</f>
        <v>100000</v>
      </c>
      <c r="U49" s="98">
        <f>Assumptions!$J$31</f>
        <v>100000</v>
      </c>
      <c r="V49" s="79">
        <f>Assumptions!$K$31</f>
        <v>100000</v>
      </c>
      <c r="W49" s="79">
        <f>Assumptions!$K$31</f>
        <v>100000</v>
      </c>
      <c r="X49" s="79">
        <f>Assumptions!$K$31</f>
        <v>100000</v>
      </c>
      <c r="Y49" s="98">
        <f>Assumptions!$L$31</f>
        <v>100000</v>
      </c>
      <c r="Z49" s="98">
        <f>Assumptions!$L$31</f>
        <v>100000</v>
      </c>
      <c r="AA49" s="98">
        <f>Assumptions!$L$31</f>
        <v>100000</v>
      </c>
      <c r="AB49" s="79">
        <f>Assumptions!$M$31</f>
        <v>100000</v>
      </c>
      <c r="AC49" s="79">
        <f>Assumptions!$M$31</f>
        <v>100000</v>
      </c>
      <c r="AD49" s="79">
        <f>Assumptions!$M$31</f>
        <v>100000</v>
      </c>
      <c r="AE49" s="98">
        <f>Assumptions!$N$31</f>
        <v>100000</v>
      </c>
      <c r="AF49" s="98">
        <f>Assumptions!$N$31</f>
        <v>100000</v>
      </c>
      <c r="AG49" s="98">
        <f>Assumptions!$N$31</f>
        <v>100000</v>
      </c>
      <c r="AH49" s="79">
        <f>Assumptions!$O$31</f>
        <v>100000</v>
      </c>
      <c r="AI49" s="79">
        <f>Assumptions!$O$31</f>
        <v>100000</v>
      </c>
      <c r="AJ49" s="79">
        <f>Assumptions!$O$31</f>
        <v>100000</v>
      </c>
      <c r="AK49" s="98">
        <f>Assumptions!$P$31</f>
        <v>100000</v>
      </c>
      <c r="AL49" s="98">
        <f>Assumptions!$P$31</f>
        <v>100000</v>
      </c>
      <c r="AM49" s="98">
        <f>Assumptions!$P$31</f>
        <v>100000</v>
      </c>
      <c r="AN49" s="79">
        <f>Assumptions!$Q$31</f>
        <v>100000</v>
      </c>
      <c r="AO49" s="79">
        <f>Assumptions!$Q$31</f>
        <v>100000</v>
      </c>
      <c r="AP49" s="79">
        <f>Assumptions!$Q$31</f>
        <v>100000</v>
      </c>
      <c r="AQ49" s="98">
        <f>Assumptions!$R$31</f>
        <v>100000</v>
      </c>
      <c r="AR49" s="98">
        <f>Assumptions!$R$31</f>
        <v>100000</v>
      </c>
      <c r="AS49" s="98">
        <f>Assumptions!$R$31</f>
        <v>100000</v>
      </c>
      <c r="AT49" s="79">
        <f>Assumptions!$S$31</f>
        <v>100000</v>
      </c>
      <c r="AU49" s="79">
        <f>Assumptions!$S$31</f>
        <v>100000</v>
      </c>
      <c r="AV49" s="79">
        <f>Assumptions!$S$31</f>
        <v>100000</v>
      </c>
      <c r="AW49" s="98">
        <f>Assumptions!$T$31</f>
        <v>100000</v>
      </c>
      <c r="AX49" s="98">
        <f>Assumptions!$T$31</f>
        <v>100000</v>
      </c>
      <c r="AY49" s="98">
        <f>Assumptions!$T$31</f>
        <v>100000</v>
      </c>
      <c r="AZ49" s="87">
        <f>Assumptions!$U$31</f>
        <v>100000</v>
      </c>
      <c r="BA49" s="70">
        <f>Assumptions!$U$31</f>
        <v>100000</v>
      </c>
      <c r="BB49" s="70">
        <f>Assumptions!$U$31</f>
        <v>100000</v>
      </c>
    </row>
    <row r="50" spans="1:54" s="22" customFormat="1" x14ac:dyDescent="0.25">
      <c r="A50" s="35" t="s">
        <v>37</v>
      </c>
      <c r="B50" s="36"/>
      <c r="C50" s="36"/>
      <c r="D50" s="79">
        <f ca="1">D24</f>
        <v>6576.3085794314447</v>
      </c>
      <c r="E50" s="79">
        <f ca="1">D24</f>
        <v>6576.3085794314447</v>
      </c>
      <c r="F50" s="79">
        <f ca="1">D24</f>
        <v>6576.3085794314447</v>
      </c>
      <c r="G50" s="98">
        <f ca="1">$G$24</f>
        <v>8365.2404174288204</v>
      </c>
      <c r="H50" s="98">
        <f ca="1">$G$24</f>
        <v>8365.2404174288204</v>
      </c>
      <c r="I50" s="98">
        <f ca="1">$G$24</f>
        <v>8365.2404174288204</v>
      </c>
      <c r="J50" s="79">
        <f ca="1">$J$24</f>
        <v>10271.059255806224</v>
      </c>
      <c r="K50" s="79">
        <f ca="1">$J$24</f>
        <v>10271.059255806224</v>
      </c>
      <c r="L50" s="79">
        <f ca="1">$J$24</f>
        <v>10271.059255806224</v>
      </c>
      <c r="M50" s="98">
        <f ca="1">$M$24</f>
        <v>12301.407029998934</v>
      </c>
      <c r="N50" s="98">
        <f ca="1">$M$24</f>
        <v>12301.407029998934</v>
      </c>
      <c r="O50" s="98">
        <f ca="1">$M$24</f>
        <v>12301.407029998934</v>
      </c>
      <c r="P50" s="79">
        <f ca="1">$P$24</f>
        <v>14464.425586595424</v>
      </c>
      <c r="Q50" s="79">
        <f ca="1">$P$24</f>
        <v>14464.425586595424</v>
      </c>
      <c r="R50" s="79">
        <f ca="1">$P$24</f>
        <v>14464.425586595424</v>
      </c>
      <c r="S50" s="98">
        <f ca="1">$S$24</f>
        <v>16768.789404029685</v>
      </c>
      <c r="T50" s="98">
        <f ca="1">$S$24</f>
        <v>16768.789404029685</v>
      </c>
      <c r="U50" s="98">
        <f ca="1">$S$24</f>
        <v>16768.789404029685</v>
      </c>
      <c r="V50" s="79">
        <f ca="1">$V$24</f>
        <v>19223.740456068215</v>
      </c>
      <c r="W50" s="79">
        <f ca="1">$V$24</f>
        <v>19223.740456068215</v>
      </c>
      <c r="X50" s="79">
        <f ca="1">$V$24</f>
        <v>19223.740456068215</v>
      </c>
      <c r="Y50" s="98">
        <f ca="1">$Y$24</f>
        <v>21839.125358487927</v>
      </c>
      <c r="Z50" s="98">
        <f ca="1">$Y$24</f>
        <v>21839.125358487927</v>
      </c>
      <c r="AA50" s="98">
        <f ca="1">$Y$24</f>
        <v>21839.125358487927</v>
      </c>
      <c r="AB50" s="79">
        <f ca="1">$AB$24</f>
        <v>24625.434948544345</v>
      </c>
      <c r="AC50" s="79">
        <f ca="1">$AB$24</f>
        <v>24625.434948544345</v>
      </c>
      <c r="AD50" s="79">
        <f ca="1">$AB$24</f>
        <v>24625.434948544345</v>
      </c>
      <c r="AE50" s="98">
        <f ca="1">$AE$24</f>
        <v>27593.846456636347</v>
      </c>
      <c r="AF50" s="98">
        <f ca="1">$AE$24</f>
        <v>27593.846456636347</v>
      </c>
      <c r="AG50" s="98">
        <f ca="1">$AE$24</f>
        <v>27593.846456636347</v>
      </c>
      <c r="AH50" s="79">
        <f ca="1">$AH$24</f>
        <v>30756.268440023348</v>
      </c>
      <c r="AI50" s="79">
        <f ca="1">$AH$24</f>
        <v>30756.268440023348</v>
      </c>
      <c r="AJ50" s="79">
        <f ca="1">$AH$24</f>
        <v>30756.268440023348</v>
      </c>
      <c r="AK50" s="98">
        <f ca="1">$AK$24</f>
        <v>34125.388659586126</v>
      </c>
      <c r="AL50" s="98">
        <f ca="1">$AK$24</f>
        <v>34125.388659586126</v>
      </c>
      <c r="AM50" s="98">
        <f ca="1">$AK$24</f>
        <v>34125.388659586126</v>
      </c>
      <c r="AN50" s="79">
        <f ca="1">$AN$24</f>
        <v>37714.725092487803</v>
      </c>
      <c r="AO50" s="79">
        <f ca="1">$AN$24</f>
        <v>37714.725092487803</v>
      </c>
      <c r="AP50" s="79">
        <f ca="1">$AN$24</f>
        <v>37714.725092487803</v>
      </c>
      <c r="AQ50" s="98">
        <f ca="1">$AQ$24</f>
        <v>41538.680286235794</v>
      </c>
      <c r="AR50" s="98">
        <f ca="1">$AQ$24</f>
        <v>41538.680286235794</v>
      </c>
      <c r="AS50" s="98">
        <f ca="1">$AQ$24</f>
        <v>41538.680286235794</v>
      </c>
      <c r="AT50" s="79">
        <f ca="1">$AT$24</f>
        <v>45612.599273117419</v>
      </c>
      <c r="AU50" s="79">
        <f ca="1">$AT$24</f>
        <v>45612.599273117419</v>
      </c>
      <c r="AV50" s="79">
        <f ca="1">$AT$24</f>
        <v>45612.599273117419</v>
      </c>
      <c r="AW50" s="98">
        <f ca="1">$AW$24</f>
        <v>49637.950019576587</v>
      </c>
      <c r="AX50" s="98">
        <f ca="1">$AW$24</f>
        <v>49637.950019576587</v>
      </c>
      <c r="AY50" s="98">
        <f ca="1">$AW$24</f>
        <v>49637.950019576587</v>
      </c>
      <c r="AZ50" s="87">
        <f ca="1">$AZ$24</f>
        <v>57755.172926260951</v>
      </c>
      <c r="BA50" s="70">
        <f ca="1">$AZ$24</f>
        <v>57755.172926260951</v>
      </c>
      <c r="BB50" s="70">
        <f ca="1">$AZ$24</f>
        <v>57755.172926260951</v>
      </c>
    </row>
    <row r="51" spans="1:54" ht="15.75" thickBot="1" x14ac:dyDescent="0.3">
      <c r="A51" s="29" t="s">
        <v>38</v>
      </c>
      <c r="B51" s="12"/>
      <c r="C51" s="12"/>
      <c r="D51" s="77">
        <f ca="1">SUM(D49:D50)+D47</f>
        <v>242426.96810815186</v>
      </c>
      <c r="E51" s="77">
        <f ca="1">SUM(E49:E50)+E47</f>
        <v>242426.96810815186</v>
      </c>
      <c r="F51" s="77">
        <f ca="1">SUM(F49:F50)+F47</f>
        <v>242426.96810815186</v>
      </c>
      <c r="G51" s="24">
        <f t="shared" ref="G51:M51" ca="1" si="64">SUM(G49:G50)+G47</f>
        <v>238476.3881170144</v>
      </c>
      <c r="H51" s="24">
        <f t="shared" ref="H51:I51" ca="1" si="65">SUM(H49:H50)+H47</f>
        <v>238476.3881170144</v>
      </c>
      <c r="I51" s="24">
        <f t="shared" ca="1" si="65"/>
        <v>238476.3881170144</v>
      </c>
      <c r="J51" s="77">
        <f t="shared" ca="1" si="64"/>
        <v>234290.65037851143</v>
      </c>
      <c r="K51" s="77">
        <f t="shared" ref="K51:L51" ca="1" si="66">SUM(K49:K50)+K47</f>
        <v>234290.65037851143</v>
      </c>
      <c r="L51" s="77">
        <f t="shared" ca="1" si="66"/>
        <v>234290.65037851143</v>
      </c>
      <c r="M51" s="24">
        <f t="shared" ca="1" si="64"/>
        <v>229855.81265782917</v>
      </c>
      <c r="N51" s="24">
        <f t="shared" ref="N51:O51" ca="1" si="67">SUM(N49:N50)+N47</f>
        <v>229855.81265782917</v>
      </c>
      <c r="O51" s="24">
        <f t="shared" ca="1" si="67"/>
        <v>229855.81265782917</v>
      </c>
      <c r="P51" s="77">
        <f t="shared" ref="P51:AZ51" ca="1" si="68">SUM(P49:P50)+P47</f>
        <v>225157.10989921901</v>
      </c>
      <c r="Q51" s="77">
        <f t="shared" ref="Q51:R51" ca="1" si="69">SUM(Q49:Q50)+Q47</f>
        <v>225157.10989921901</v>
      </c>
      <c r="R51" s="77">
        <f t="shared" ca="1" si="69"/>
        <v>225157.10989921901</v>
      </c>
      <c r="S51" s="24">
        <f t="shared" ca="1" si="68"/>
        <v>220178.9059270279</v>
      </c>
      <c r="T51" s="24">
        <f t="shared" ref="T51:U51" ca="1" si="70">SUM(T49:T50)+T47</f>
        <v>220178.9059270279</v>
      </c>
      <c r="U51" s="24">
        <f t="shared" ca="1" si="70"/>
        <v>220178.9059270279</v>
      </c>
      <c r="V51" s="77">
        <f t="shared" ca="1" si="68"/>
        <v>214904.64232963056</v>
      </c>
      <c r="W51" s="77">
        <f t="shared" ref="W51:X51" ca="1" si="71">SUM(W49:W50)+W47</f>
        <v>214904.64232963056</v>
      </c>
      <c r="X51" s="77">
        <f t="shared" ca="1" si="71"/>
        <v>214904.64232963056</v>
      </c>
      <c r="Y51" s="24">
        <f t="shared" ca="1" si="68"/>
        <v>209316.78436320374</v>
      </c>
      <c r="Z51" s="24">
        <f t="shared" ref="Z51:AA51" ca="1" si="72">SUM(Z49:Z50)+Z47</f>
        <v>209316.78436320374</v>
      </c>
      <c r="AA51" s="24">
        <f t="shared" ca="1" si="72"/>
        <v>209316.78436320374</v>
      </c>
      <c r="AB51" s="77">
        <f t="shared" ca="1" si="68"/>
        <v>203396.76370293048</v>
      </c>
      <c r="AC51" s="77">
        <f t="shared" ref="AC51:AD51" ca="1" si="73">SUM(AC49:AC50)+AC47</f>
        <v>203396.76370293048</v>
      </c>
      <c r="AD51" s="77">
        <f t="shared" ca="1" si="73"/>
        <v>203396.76370293048</v>
      </c>
      <c r="AE51" s="24">
        <f t="shared" ca="1" si="68"/>
        <v>197124.91785934241</v>
      </c>
      <c r="AF51" s="24">
        <f t="shared" ref="AF51:AG51" ca="1" si="74">SUM(AF49:AF50)+AF47</f>
        <v>197124.91785934241</v>
      </c>
      <c r="AG51" s="24">
        <f t="shared" ca="1" si="74"/>
        <v>197124.91785934241</v>
      </c>
      <c r="AH51" s="77">
        <f ca="1">SUM(AH49:AH50)+AH47</f>
        <v>190480.42606706612</v>
      </c>
      <c r="AI51" s="77">
        <f t="shared" ref="AI51:AJ51" ca="1" si="75">SUM(AI49:AI50)+AI47</f>
        <v>190480.42606706612</v>
      </c>
      <c r="AJ51" s="77">
        <f t="shared" ca="1" si="75"/>
        <v>190480.42606706612</v>
      </c>
      <c r="AK51" s="24">
        <f t="shared" ca="1" si="68"/>
        <v>183441.24144220885</v>
      </c>
      <c r="AL51" s="24">
        <f t="shared" ref="AL51:AM51" ca="1" si="76">SUM(AL49:AL50)+AL47</f>
        <v>183441.24144220885</v>
      </c>
      <c r="AM51" s="24">
        <f t="shared" ca="1" si="76"/>
        <v>183441.24144220885</v>
      </c>
      <c r="AN51" s="77">
        <f t="shared" ca="1" si="68"/>
        <v>175984.01919296221</v>
      </c>
      <c r="AO51" s="77">
        <f t="shared" ref="AO51:AP51" ca="1" si="77">SUM(AO49:AO50)+AO47</f>
        <v>175984.01919296221</v>
      </c>
      <c r="AP51" s="77">
        <f t="shared" ca="1" si="77"/>
        <v>175984.01919296221</v>
      </c>
      <c r="AQ51" s="24">
        <f t="shared" ca="1" si="68"/>
        <v>168084.04065568946</v>
      </c>
      <c r="AR51" s="24">
        <f t="shared" ref="AR51:AS51" ca="1" si="78">SUM(AR49:AR50)+AR47</f>
        <v>168084.04065568946</v>
      </c>
      <c r="AS51" s="24">
        <f t="shared" ca="1" si="78"/>
        <v>168084.04065568946</v>
      </c>
      <c r="AT51" s="77">
        <f t="shared" ca="1" si="68"/>
        <v>159715.13291574991</v>
      </c>
      <c r="AU51" s="77">
        <f t="shared" ref="AU51:AV51" ca="1" si="79">SUM(AU49:AU50)+AU47</f>
        <v>159715.13291574991</v>
      </c>
      <c r="AV51" s="77">
        <f t="shared" ca="1" si="79"/>
        <v>159715.13291574991</v>
      </c>
      <c r="AW51" s="24">
        <f t="shared" ca="1" si="68"/>
        <v>164925.11565042238</v>
      </c>
      <c r="AX51" s="24">
        <f t="shared" ref="AX51:AY51" ca="1" si="80">SUM(AX49:AX50)+AX47</f>
        <v>164925.11565042238</v>
      </c>
      <c r="AY51" s="24">
        <f t="shared" ca="1" si="80"/>
        <v>164925.11565042238</v>
      </c>
      <c r="AZ51" s="84">
        <f t="shared" ca="1" si="68"/>
        <v>175466.23150840832</v>
      </c>
      <c r="BA51" s="84">
        <f t="shared" ref="BA51:BB51" ca="1" si="81">SUM(BA49:BA50)+BA47</f>
        <v>175466.23150840832</v>
      </c>
      <c r="BB51" s="84">
        <f t="shared" ca="1" si="81"/>
        <v>175466.23150840832</v>
      </c>
    </row>
    <row r="52" spans="1:54" ht="15.75" thickTop="1" x14ac:dyDescent="0.25">
      <c r="A52" s="29"/>
      <c r="B52" s="12"/>
      <c r="C52" s="12"/>
      <c r="D52" s="63"/>
      <c r="E52" s="63"/>
      <c r="F52" s="63"/>
      <c r="G52" s="32"/>
      <c r="H52" s="32"/>
      <c r="I52" s="32"/>
      <c r="J52" s="63"/>
      <c r="K52" s="63"/>
      <c r="L52" s="63"/>
      <c r="M52" s="32"/>
      <c r="N52" s="32"/>
      <c r="O52" s="32"/>
      <c r="P52" s="62"/>
      <c r="Q52" s="62"/>
      <c r="R52" s="62"/>
      <c r="S52" s="12"/>
      <c r="T52" s="12"/>
      <c r="U52" s="12"/>
      <c r="V52" s="62"/>
      <c r="W52" s="62"/>
      <c r="X52" s="62"/>
      <c r="Y52" s="12"/>
      <c r="Z52" s="12"/>
      <c r="AA52" s="12"/>
      <c r="AB52" s="62"/>
      <c r="AC52" s="62"/>
      <c r="AD52" s="62"/>
      <c r="AE52" s="12"/>
      <c r="AF52" s="12"/>
      <c r="AG52" s="12"/>
      <c r="AH52" s="62"/>
      <c r="AI52" s="62"/>
      <c r="AJ52" s="62"/>
      <c r="AK52" s="12"/>
      <c r="AL52" s="12"/>
      <c r="AM52" s="12"/>
      <c r="AN52" s="62"/>
      <c r="AO52" s="62"/>
      <c r="AP52" s="62"/>
      <c r="AQ52" s="12"/>
      <c r="AR52" s="12"/>
      <c r="AS52" s="12"/>
      <c r="AT52" s="62"/>
      <c r="AU52" s="62"/>
      <c r="AV52" s="62"/>
      <c r="AW52" s="12"/>
      <c r="AX52" s="12"/>
      <c r="AY52" s="12"/>
      <c r="AZ52" s="69"/>
      <c r="BA52" s="69"/>
      <c r="BB52" s="69"/>
    </row>
    <row r="53" spans="1:54" x14ac:dyDescent="0.25">
      <c r="A53" s="34"/>
      <c r="B53" s="12"/>
      <c r="C53" s="12"/>
      <c r="D53" s="79"/>
      <c r="E53" s="79">
        <f ca="1">E37-E51</f>
        <v>-15226.968108151865</v>
      </c>
      <c r="F53" s="79">
        <f ca="1">F37-F51</f>
        <v>-15226.968108151865</v>
      </c>
      <c r="G53" s="43"/>
      <c r="H53" s="43">
        <f ca="1">H37-H51</f>
        <v>-23216.4806170144</v>
      </c>
      <c r="I53" s="43">
        <f ca="1">I37-I51</f>
        <v>-23216.4806170144</v>
      </c>
      <c r="J53" s="79"/>
      <c r="K53" s="79">
        <f t="shared" ref="K53:L53" ca="1" si="82">K37-K51</f>
        <v>-30970.180988136446</v>
      </c>
      <c r="L53" s="79">
        <f t="shared" ca="1" si="82"/>
        <v>-30970.180988136446</v>
      </c>
      <c r="M53" s="43"/>
      <c r="N53" s="43">
        <f ca="1">N37-N51</f>
        <v>-38474.083764219889</v>
      </c>
      <c r="O53" s="43">
        <f ca="1">O37-O51</f>
        <v>-38474.083764219889</v>
      </c>
      <c r="P53" s="79"/>
      <c r="Q53" s="79">
        <f t="shared" ref="Q53:R53" ca="1" si="83">Q37-Q51</f>
        <v>-45713.377812186838</v>
      </c>
      <c r="R53" s="79">
        <f t="shared" ca="1" si="83"/>
        <v>-45713.377812186838</v>
      </c>
      <c r="S53" s="43"/>
      <c r="T53" s="43">
        <f t="shared" ref="T53:U53" ca="1" si="84">T37-T51</f>
        <v>-52672.377835647261</v>
      </c>
      <c r="U53" s="43">
        <f t="shared" ca="1" si="84"/>
        <v>-52672.377835647261</v>
      </c>
      <c r="V53" s="79"/>
      <c r="W53" s="79">
        <f t="shared" ref="W53:X53" ca="1" si="85">W37-W51</f>
        <v>-59334.473057814233</v>
      </c>
      <c r="X53" s="79">
        <f t="shared" ca="1" si="85"/>
        <v>-59334.473057814233</v>
      </c>
      <c r="Y53" s="43"/>
      <c r="Z53" s="43">
        <f t="shared" ref="Z53:AA53" ca="1" si="86">Z37-Z51</f>
        <v>-65682.072910983959</v>
      </c>
      <c r="AA53" s="43">
        <f t="shared" ca="1" si="86"/>
        <v>-65682.072910983959</v>
      </c>
      <c r="AB53" s="79"/>
      <c r="AC53" s="79">
        <f t="shared" ref="AC53:AD53" ca="1" si="87">AC37-AC51</f>
        <v>-71696.549559291569</v>
      </c>
      <c r="AD53" s="79">
        <f t="shared" ca="1" si="87"/>
        <v>-71696.549559291569</v>
      </c>
      <c r="AE53" s="43"/>
      <c r="AF53" s="43">
        <f t="shared" ref="AF53:AG53" ca="1" si="88">AF37-AF51</f>
        <v>-77358.177071516155</v>
      </c>
      <c r="AG53" s="43">
        <f t="shared" ca="1" si="88"/>
        <v>-77358.177071516155</v>
      </c>
      <c r="AH53" s="79"/>
      <c r="AI53" s="79">
        <f ca="1">AI37-AI51</f>
        <v>-82646.067050203928</v>
      </c>
      <c r="AJ53" s="79">
        <f ca="1">AJ37-AJ51</f>
        <v>-82646.067050203928</v>
      </c>
      <c r="AK53" s="43"/>
      <c r="AL53" s="43">
        <f ca="1">AL37-AL51</f>
        <v>-87538.100512282908</v>
      </c>
      <c r="AM53" s="43">
        <f t="shared" ref="AM53" ca="1" si="89">AM37-AM51</f>
        <v>-87538.100512282908</v>
      </c>
      <c r="AN53" s="79"/>
      <c r="AO53" s="79">
        <f ca="1">AO37-AO51</f>
        <v>-92010.855804614665</v>
      </c>
      <c r="AP53" s="79">
        <f t="shared" ref="AP53" ca="1" si="90">AP37-AP51</f>
        <v>-92010.855804614665</v>
      </c>
      <c r="AQ53" s="43"/>
      <c r="AR53" s="43">
        <f ca="1">AR37-AR51</f>
        <v>-96039.532325541557</v>
      </c>
      <c r="AS53" s="43">
        <f t="shared" ref="AS53" ca="1" si="91">AS37-AS51</f>
        <v>-96039.532325541557</v>
      </c>
      <c r="AT53" s="79"/>
      <c r="AU53" s="79">
        <f ca="1">AU37-AU51</f>
        <v>-99597.869810395758</v>
      </c>
      <c r="AV53" s="79">
        <f t="shared" ref="AV53" ca="1" si="92">AV37-AV51</f>
        <v>-99597.869810395758</v>
      </c>
      <c r="AW53" s="43"/>
      <c r="AX53" s="43">
        <f t="shared" ref="AX53:AY53" ca="1" si="93">AX37-AX51</f>
        <v>-116733.59481695956</v>
      </c>
      <c r="AY53" s="43">
        <f t="shared" ca="1" si="93"/>
        <v>-116733.59481695956</v>
      </c>
      <c r="AZ53" s="87"/>
      <c r="BA53" s="87">
        <f t="shared" ref="BA53:BB53" ca="1" si="94">BA37-BA51</f>
        <v>-139171.0253382611</v>
      </c>
      <c r="BB53" s="87">
        <f t="shared" ca="1" si="94"/>
        <v>-139171.0253382611</v>
      </c>
    </row>
    <row r="54" spans="1:54" x14ac:dyDescent="0.25">
      <c r="A54" s="28"/>
      <c r="B54" s="11"/>
      <c r="C54" s="11"/>
      <c r="D54" s="65"/>
      <c r="E54" s="65"/>
      <c r="F54" s="65"/>
      <c r="G54" s="18"/>
      <c r="H54" s="18"/>
      <c r="I54" s="18"/>
      <c r="J54" s="65"/>
      <c r="K54" s="65"/>
      <c r="L54" s="65"/>
      <c r="M54" s="18"/>
      <c r="N54" s="18"/>
      <c r="O54" s="18"/>
      <c r="P54" s="67"/>
      <c r="Q54" s="67"/>
      <c r="R54" s="67"/>
      <c r="S54" s="11"/>
      <c r="T54" s="11"/>
      <c r="U54" s="11"/>
      <c r="V54" s="67"/>
      <c r="W54" s="67"/>
      <c r="X54" s="67"/>
      <c r="Y54" s="11"/>
      <c r="Z54" s="11"/>
      <c r="AA54" s="11"/>
      <c r="AB54" s="67"/>
      <c r="AC54" s="67"/>
      <c r="AD54" s="67"/>
      <c r="AE54" s="11"/>
      <c r="AF54" s="11"/>
      <c r="AG54" s="11"/>
      <c r="AH54" s="67"/>
      <c r="AI54" s="67"/>
      <c r="AJ54" s="67"/>
      <c r="AK54" s="11"/>
      <c r="AL54" s="11"/>
      <c r="AM54" s="11"/>
      <c r="AN54" s="67"/>
      <c r="AO54" s="67"/>
      <c r="AP54" s="67"/>
      <c r="AQ54" s="11"/>
      <c r="AR54" s="11"/>
      <c r="AS54" s="11"/>
      <c r="AT54" s="67"/>
      <c r="AU54" s="67"/>
      <c r="AV54" s="67"/>
      <c r="AW54" s="11"/>
      <c r="AX54" s="11"/>
      <c r="AY54" s="11"/>
      <c r="AZ54" s="74"/>
      <c r="BA54" s="69"/>
      <c r="BB54" s="62"/>
    </row>
    <row r="55" spans="1:54" x14ac:dyDescent="0.25">
      <c r="A55" s="29" t="s">
        <v>43</v>
      </c>
      <c r="B55" s="12"/>
      <c r="C55" s="12"/>
      <c r="D55" s="80">
        <v>2012</v>
      </c>
      <c r="E55" s="80"/>
      <c r="F55" s="80"/>
      <c r="G55" s="19">
        <v>2013</v>
      </c>
      <c r="H55" s="19"/>
      <c r="I55" s="19"/>
      <c r="J55" s="80">
        <v>2014</v>
      </c>
      <c r="K55" s="80"/>
      <c r="L55" s="80"/>
      <c r="M55" s="19">
        <v>2015</v>
      </c>
      <c r="N55" s="19"/>
      <c r="O55" s="19"/>
      <c r="P55" s="80">
        <v>2016</v>
      </c>
      <c r="Q55" s="80"/>
      <c r="R55" s="80"/>
      <c r="S55" s="19">
        <v>2017</v>
      </c>
      <c r="T55" s="19"/>
      <c r="U55" s="19"/>
      <c r="V55" s="80">
        <v>2018</v>
      </c>
      <c r="W55" s="80"/>
      <c r="X55" s="80"/>
      <c r="Y55" s="19">
        <v>2019</v>
      </c>
      <c r="Z55" s="19"/>
      <c r="AA55" s="19"/>
      <c r="AB55" s="80">
        <v>2020</v>
      </c>
      <c r="AC55" s="80"/>
      <c r="AD55" s="80"/>
      <c r="AE55" s="19">
        <v>2021</v>
      </c>
      <c r="AF55" s="19"/>
      <c r="AG55" s="19"/>
      <c r="AH55" s="80">
        <v>2022</v>
      </c>
      <c r="AI55" s="80"/>
      <c r="AJ55" s="80"/>
      <c r="AK55" s="19">
        <v>2023</v>
      </c>
      <c r="AL55" s="19"/>
      <c r="AM55" s="19"/>
      <c r="AN55" s="80">
        <v>2024</v>
      </c>
      <c r="AO55" s="80"/>
      <c r="AP55" s="80"/>
      <c r="AQ55" s="19">
        <v>2025</v>
      </c>
      <c r="AR55" s="19"/>
      <c r="AS55" s="19"/>
      <c r="AT55" s="80">
        <v>2026</v>
      </c>
      <c r="AU55" s="80"/>
      <c r="AV55" s="80"/>
      <c r="AW55" s="19">
        <v>2027</v>
      </c>
      <c r="AX55" s="19"/>
      <c r="AY55" s="19"/>
      <c r="AZ55" s="88">
        <v>2028</v>
      </c>
      <c r="BA55" s="69"/>
      <c r="BB55" s="62"/>
    </row>
    <row r="56" spans="1:54" x14ac:dyDescent="0.25">
      <c r="A56" s="34" t="s">
        <v>39</v>
      </c>
      <c r="B56" s="12"/>
      <c r="C56" s="12"/>
      <c r="D56" s="79">
        <f ca="1">D32/D43</f>
        <v>5.5985931933281412</v>
      </c>
      <c r="E56" s="79"/>
      <c r="F56" s="79"/>
      <c r="G56" s="43">
        <f t="shared" ref="G56:AZ56" ca="1" si="95">G32/G43</f>
        <v>7.156116999999206</v>
      </c>
      <c r="H56" s="43"/>
      <c r="I56" s="43"/>
      <c r="J56" s="79">
        <f t="shared" ca="1" si="95"/>
        <v>8.1504775252662078</v>
      </c>
      <c r="K56" s="79"/>
      <c r="L56" s="79"/>
      <c r="M56" s="43">
        <f t="shared" ca="1" si="95"/>
        <v>8.7633857442804803</v>
      </c>
      <c r="N56" s="43"/>
      <c r="O56" s="43"/>
      <c r="P56" s="79">
        <f t="shared" ca="1" si="95"/>
        <v>9.1084862564625464</v>
      </c>
      <c r="Q56" s="79"/>
      <c r="R56" s="79"/>
      <c r="S56" s="43">
        <f t="shared" ca="1" si="95"/>
        <v>9.2604640886606315</v>
      </c>
      <c r="T56" s="43"/>
      <c r="U56" s="43"/>
      <c r="V56" s="79">
        <f t="shared" ca="1" si="95"/>
        <v>9.2703892438272764</v>
      </c>
      <c r="W56" s="79"/>
      <c r="X56" s="79"/>
      <c r="Y56" s="43">
        <f t="shared" ca="1" si="95"/>
        <v>9.1743361646500503</v>
      </c>
      <c r="Z56" s="43"/>
      <c r="AA56" s="43"/>
      <c r="AB56" s="79">
        <f t="shared" ca="1" si="95"/>
        <v>8.998482817193981</v>
      </c>
      <c r="AC56" s="79"/>
      <c r="AD56" s="79"/>
      <c r="AE56" s="43">
        <f t="shared" ca="1" si="95"/>
        <v>8.7622600451351431</v>
      </c>
      <c r="AF56" s="43"/>
      <c r="AG56" s="43"/>
      <c r="AH56" s="79">
        <f t="shared" ca="1" si="95"/>
        <v>8.4803689673956963</v>
      </c>
      <c r="AI56" s="79"/>
      <c r="AJ56" s="79"/>
      <c r="AK56" s="43">
        <f t="shared" ca="1" si="95"/>
        <v>8.1641143583882094</v>
      </c>
      <c r="AL56" s="43"/>
      <c r="AM56" s="43"/>
      <c r="AN56" s="79">
        <f t="shared" ca="1" si="95"/>
        <v>7.8223102102491673</v>
      </c>
      <c r="AO56" s="79"/>
      <c r="AP56" s="79"/>
      <c r="AQ56" s="43">
        <f t="shared" ca="1" si="95"/>
        <v>7.4619095797328709</v>
      </c>
      <c r="AR56" s="43"/>
      <c r="AS56" s="43"/>
      <c r="AT56" s="79">
        <f t="shared" ca="1" si="95"/>
        <v>7.0884520079109539</v>
      </c>
      <c r="AU56" s="79"/>
      <c r="AV56" s="79"/>
      <c r="AW56" s="43">
        <f t="shared" ca="1" si="95"/>
        <v>7.66166328531774</v>
      </c>
      <c r="AX56" s="43"/>
      <c r="AY56" s="43"/>
      <c r="AZ56" s="87">
        <f t="shared" ca="1" si="95"/>
        <v>7.8829975555013165</v>
      </c>
      <c r="BA56" s="87"/>
      <c r="BB56" s="79"/>
    </row>
    <row r="57" spans="1:54" x14ac:dyDescent="0.25">
      <c r="A57" s="34" t="s">
        <v>40</v>
      </c>
      <c r="B57" s="12"/>
      <c r="C57" s="12"/>
      <c r="D57" s="79">
        <f ca="1">(D45+D46)/(D49+D50)</f>
        <v>1.2489087317624623</v>
      </c>
      <c r="E57" s="79"/>
      <c r="F57" s="79"/>
      <c r="G57" s="43">
        <f t="shared" ref="G57:AZ57" ca="1" si="96">(G45+G46)/(G49+G50)</f>
        <v>1.1705277170208488</v>
      </c>
      <c r="H57" s="43"/>
      <c r="I57" s="43"/>
      <c r="J57" s="79">
        <f t="shared" ca="1" si="96"/>
        <v>1.0900310299065932</v>
      </c>
      <c r="K57" s="79"/>
      <c r="L57" s="79"/>
      <c r="M57" s="43">
        <f t="shared" ca="1" si="96"/>
        <v>1.0074971409047309</v>
      </c>
      <c r="N57" s="43"/>
      <c r="O57" s="43"/>
      <c r="P57" s="79">
        <f t="shared" ca="1" si="96"/>
        <v>0.92301731769369055</v>
      </c>
      <c r="Q57" s="79"/>
      <c r="R57" s="79"/>
      <c r="S57" s="43">
        <f t="shared" ca="1" si="96"/>
        <v>0.83669564614816083</v>
      </c>
      <c r="T57" s="43"/>
      <c r="U57" s="43"/>
      <c r="V57" s="79">
        <f t="shared" ca="1" si="96"/>
        <v>0.74864890390336958</v>
      </c>
      <c r="W57" s="79"/>
      <c r="X57" s="79"/>
      <c r="Y57" s="43">
        <f t="shared" ca="1" si="96"/>
        <v>0.65900627778665144</v>
      </c>
      <c r="Z57" s="43"/>
      <c r="AA57" s="43"/>
      <c r="AB57" s="79">
        <f t="shared" ca="1" si="96"/>
        <v>0.56790891916025144</v>
      </c>
      <c r="AC57" s="79"/>
      <c r="AD57" s="79"/>
      <c r="AE57" s="43">
        <f t="shared" ca="1" si="96"/>
        <v>0.4755093343678119</v>
      </c>
      <c r="AF57" s="43"/>
      <c r="AG57" s="43"/>
      <c r="AH57" s="79">
        <f t="shared" ca="1" si="96"/>
        <v>0.38197061096163942</v>
      </c>
      <c r="AI57" s="79"/>
      <c r="AJ57" s="79"/>
      <c r="AK57" s="43">
        <f t="shared" ca="1" si="96"/>
        <v>0.28746548411224204</v>
      </c>
      <c r="AL57" s="43"/>
      <c r="AM57" s="43"/>
      <c r="AN57" s="79">
        <f t="shared" ca="1" si="96"/>
        <v>0.19217525144986605</v>
      </c>
      <c r="AO57" s="79"/>
      <c r="AP57" s="79"/>
      <c r="AQ57" s="43">
        <f t="shared" ca="1" si="96"/>
        <v>9.628854842892734E-2</v>
      </c>
      <c r="AR57" s="43"/>
      <c r="AS57" s="43"/>
      <c r="AT57" s="79">
        <f t="shared" ca="1" si="96"/>
        <v>0</v>
      </c>
      <c r="AU57" s="79"/>
      <c r="AV57" s="79"/>
      <c r="AW57" s="43">
        <f t="shared" ca="1" si="96"/>
        <v>0</v>
      </c>
      <c r="AX57" s="43"/>
      <c r="AY57" s="43"/>
      <c r="AZ57" s="87">
        <f t="shared" ca="1" si="96"/>
        <v>0</v>
      </c>
      <c r="BA57" s="87"/>
      <c r="BB57" s="79"/>
    </row>
    <row r="58" spans="1:54" x14ac:dyDescent="0.25">
      <c r="A58" s="34" t="s">
        <v>41</v>
      </c>
      <c r="B58" s="12"/>
      <c r="C58" s="12"/>
      <c r="D58" s="64">
        <f ca="1">D24/D37</f>
        <v>2.7126967889552669E-2</v>
      </c>
      <c r="E58" s="64"/>
      <c r="F58" s="64"/>
      <c r="G58" s="44">
        <f ca="1">G24/G37</f>
        <v>3.5077856065667205E-2</v>
      </c>
      <c r="H58" s="44"/>
      <c r="I58" s="44"/>
      <c r="J58" s="64">
        <f ca="1">J24/J37</f>
        <v>4.383896343798898E-2</v>
      </c>
      <c r="K58" s="64"/>
      <c r="L58" s="64"/>
      <c r="M58" s="44">
        <f ca="1">M24/M37</f>
        <v>5.3517928860520966E-2</v>
      </c>
      <c r="N58" s="44"/>
      <c r="O58" s="44"/>
      <c r="P58" s="64">
        <f ca="1">P24/P37</f>
        <v>6.4241478286294146E-2</v>
      </c>
      <c r="Q58" s="64"/>
      <c r="R58" s="64"/>
      <c r="S58" s="44">
        <f ca="1">S24/S37</f>
        <v>7.6159836172440737E-2</v>
      </c>
      <c r="T58" s="44"/>
      <c r="U58" s="44"/>
      <c r="V58" s="64">
        <f ca="1">V24/V37</f>
        <v>8.9452420607005617E-2</v>
      </c>
      <c r="W58" s="64"/>
      <c r="X58" s="64"/>
      <c r="Y58" s="44">
        <f ca="1">Y24/Y37</f>
        <v>0.10433528025441555</v>
      </c>
      <c r="Z58" s="44"/>
      <c r="AA58" s="44"/>
      <c r="AB58" s="64">
        <f ca="1">AB24/AB37</f>
        <v>0.12107092807293054</v>
      </c>
      <c r="AC58" s="64"/>
      <c r="AD58" s="64"/>
      <c r="AE58" s="44">
        <f ca="1">AE24/AE37</f>
        <v>0.13998152418420187</v>
      </c>
      <c r="AF58" s="44"/>
      <c r="AG58" s="44"/>
      <c r="AH58" s="64">
        <f ca="1">AH24/AH37</f>
        <v>0.16146681879635441</v>
      </c>
      <c r="AI58" s="64"/>
      <c r="AJ58" s="64"/>
      <c r="AK58" s="44">
        <f ca="1">AK24/AK37</f>
        <v>0.18602898885383393</v>
      </c>
      <c r="AL58" s="44"/>
      <c r="AM58" s="44"/>
      <c r="AN58" s="64">
        <f ca="1">AN24/AN37</f>
        <v>0.21430766989776795</v>
      </c>
      <c r="AO58" s="64"/>
      <c r="AP58" s="64"/>
      <c r="AQ58" s="44">
        <f ca="1">AQ24/AQ37</f>
        <v>0.24713042430557344</v>
      </c>
      <c r="AR58" s="44"/>
      <c r="AS58" s="44"/>
      <c r="AT58" s="64">
        <f ca="1">AT24/AT37</f>
        <v>0.28558721043157609</v>
      </c>
      <c r="AU58" s="64"/>
      <c r="AV58" s="64"/>
      <c r="AW58" s="44">
        <f ca="1">AW24/AW37</f>
        <v>0.30097265552197577</v>
      </c>
      <c r="AX58" s="44"/>
      <c r="AY58" s="44"/>
      <c r="AZ58" s="71">
        <f ca="1">AZ24/AZ37</f>
        <v>0.32915263768854197</v>
      </c>
      <c r="BA58" s="71"/>
      <c r="BB58" s="64"/>
    </row>
    <row r="59" spans="1:54" x14ac:dyDescent="0.25">
      <c r="A59" s="28" t="s">
        <v>42</v>
      </c>
      <c r="B59" s="11"/>
      <c r="C59" s="11"/>
      <c r="D59" s="66">
        <f ca="1">D24/(D49+D50)</f>
        <v>6.1705163812557036E-2</v>
      </c>
      <c r="E59" s="66"/>
      <c r="F59" s="66"/>
      <c r="G59" s="25">
        <f ca="1">G24/(G49+G50)</f>
        <v>7.7194867885730309E-2</v>
      </c>
      <c r="H59" s="25"/>
      <c r="I59" s="25"/>
      <c r="J59" s="66">
        <f ca="1">J24/(J49+J50)</f>
        <v>9.3143743472885981E-2</v>
      </c>
      <c r="K59" s="66"/>
      <c r="L59" s="66"/>
      <c r="M59" s="25">
        <f ca="1">M24/(M49+M50)</f>
        <v>0.1095392066344536</v>
      </c>
      <c r="N59" s="25"/>
      <c r="O59" s="25"/>
      <c r="P59" s="66">
        <f ca="1">P24/(P49+P50)</f>
        <v>0.12636612215952367</v>
      </c>
      <c r="Q59" s="66"/>
      <c r="R59" s="66"/>
      <c r="S59" s="25">
        <f ca="1">S24/(S49+S50)</f>
        <v>0.14360677617379664</v>
      </c>
      <c r="T59" s="25"/>
      <c r="U59" s="25"/>
      <c r="V59" s="66">
        <f ca="1">V24/(V49+V50)</f>
        <v>0.16124087688015304</v>
      </c>
      <c r="W59" s="66"/>
      <c r="X59" s="66"/>
      <c r="Y59" s="25">
        <f ca="1">Y24/(Y49+Y50)</f>
        <v>0.1792455854737183</v>
      </c>
      <c r="Z59" s="25"/>
      <c r="AA59" s="25"/>
      <c r="AB59" s="66">
        <f ca="1">AB24/(AB49+AB50)</f>
        <v>0.19759557877340012</v>
      </c>
      <c r="AC59" s="66"/>
      <c r="AD59" s="66"/>
      <c r="AE59" s="25">
        <f ca="1">AE24/(AE49+AE50)</f>
        <v>0.21626314452409195</v>
      </c>
      <c r="AF59" s="25"/>
      <c r="AG59" s="25"/>
      <c r="AH59" s="66">
        <f ca="1">AH24/(AH49+AH50)</f>
        <v>0.23521830966085541</v>
      </c>
      <c r="AI59" s="66"/>
      <c r="AJ59" s="66"/>
      <c r="AK59" s="25">
        <f ca="1">AK24/(AK49+AK50)</f>
        <v>0.25442900110580319</v>
      </c>
      <c r="AL59" s="25"/>
      <c r="AM59" s="25"/>
      <c r="AN59" s="66">
        <f ca="1">AN24/(AN49+AN50)</f>
        <v>0.27386123791162476</v>
      </c>
      <c r="AO59" s="66"/>
      <c r="AP59" s="66"/>
      <c r="AQ59" s="25">
        <f ca="1">AQ24/(AQ49+AQ50)</f>
        <v>0.29347935279763454</v>
      </c>
      <c r="AR59" s="25"/>
      <c r="AS59" s="25"/>
      <c r="AT59" s="66">
        <f ca="1">AT24/(AT49+AT50)</f>
        <v>0.31324624037212884</v>
      </c>
      <c r="AU59" s="66"/>
      <c r="AV59" s="66"/>
      <c r="AW59" s="25">
        <f ca="1">AW24/(AW49+AW50)</f>
        <v>0.33172032905477944</v>
      </c>
      <c r="AX59" s="25"/>
      <c r="AY59" s="25"/>
      <c r="AZ59" s="72">
        <f ca="1">AZ24/(AZ49+AZ50)</f>
        <v>0.36610636503981575</v>
      </c>
      <c r="BA59" s="72"/>
      <c r="BB59" s="64"/>
    </row>
    <row r="62" spans="1:54" x14ac:dyDescent="0.25">
      <c r="D62" s="14"/>
      <c r="E62" s="14"/>
      <c r="F62" s="14"/>
      <c r="M62" s="14"/>
      <c r="N62" s="14"/>
      <c r="O62" s="14"/>
    </row>
    <row r="63" spans="1:54" x14ac:dyDescent="0.25">
      <c r="D63" s="14"/>
      <c r="E63" s="14"/>
      <c r="F63" s="14"/>
      <c r="M63" s="14"/>
      <c r="N63" s="14"/>
      <c r="O63" s="14"/>
    </row>
    <row r="64" spans="1:54" x14ac:dyDescent="0.25">
      <c r="D64" s="14"/>
      <c r="E64" s="14"/>
      <c r="F64" s="14"/>
      <c r="M64" s="14"/>
      <c r="N64" s="14"/>
      <c r="O64" s="14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opLeftCell="A175" zoomScale="70" zoomScaleNormal="70" zoomScalePageLayoutView="70" workbookViewId="0">
      <selection activeCell="J4" sqref="J4"/>
    </sheetView>
  </sheetViews>
  <sheetFormatPr defaultColWidth="8.85546875" defaultRowHeight="15" x14ac:dyDescent="0.25"/>
  <cols>
    <col min="1" max="1" width="16.85546875" customWidth="1"/>
    <col min="2" max="2" width="12.42578125" bestFit="1" customWidth="1"/>
    <col min="3" max="3" width="13.28515625" bestFit="1" customWidth="1"/>
    <col min="4" max="4" width="13" bestFit="1" customWidth="1"/>
    <col min="5" max="5" width="11.42578125" bestFit="1" customWidth="1"/>
    <col min="6" max="6" width="13.42578125" bestFit="1" customWidth="1"/>
    <col min="9" max="9" width="12" bestFit="1" customWidth="1"/>
    <col min="10" max="10" width="13" bestFit="1" customWidth="1"/>
  </cols>
  <sheetData>
    <row r="1" spans="1:10" x14ac:dyDescent="0.25">
      <c r="A1" s="4"/>
      <c r="B1" s="4" t="s">
        <v>44</v>
      </c>
      <c r="C1" s="4" t="s">
        <v>45</v>
      </c>
      <c r="D1" s="4" t="s">
        <v>46</v>
      </c>
      <c r="E1" s="4" t="s">
        <v>47</v>
      </c>
      <c r="F1" s="4" t="s">
        <v>48</v>
      </c>
      <c r="G1" s="4"/>
      <c r="I1" s="4" t="s">
        <v>49</v>
      </c>
      <c r="J1" s="5">
        <f>Assumptions!C33</f>
        <v>0.06</v>
      </c>
    </row>
    <row r="2" spans="1:10" x14ac:dyDescent="0.25">
      <c r="A2" s="114" t="s">
        <v>50</v>
      </c>
      <c r="B2" s="115">
        <f>J4</f>
        <v>139000</v>
      </c>
      <c r="C2" s="115">
        <f t="shared" ref="C2:C13" si="0">PPMT($J$1/12,G2,$J$2*12,-$J$4,)</f>
        <v>477.9609909873472</v>
      </c>
      <c r="D2" s="115">
        <f t="shared" ref="D2:D13" si="1">IPMT($J$1/12,G2,$J$2*12,-$J$4)</f>
        <v>695</v>
      </c>
      <c r="E2" s="115">
        <f>C2+D2</f>
        <v>1172.9609909873473</v>
      </c>
      <c r="F2" s="115">
        <f>B2-C2</f>
        <v>138522.03900901266</v>
      </c>
      <c r="G2" s="116">
        <v>1</v>
      </c>
      <c r="I2" s="4" t="s">
        <v>53</v>
      </c>
      <c r="J2" s="4">
        <f>Assumptions!C34</f>
        <v>15</v>
      </c>
    </row>
    <row r="3" spans="1:10" x14ac:dyDescent="0.25">
      <c r="A3" s="117" t="s">
        <v>51</v>
      </c>
      <c r="B3" s="118">
        <f>F2</f>
        <v>138522.03900901266</v>
      </c>
      <c r="C3" s="118">
        <f t="shared" si="0"/>
        <v>480.35079594228387</v>
      </c>
      <c r="D3" s="118">
        <f t="shared" si="1"/>
        <v>692.61019504506328</v>
      </c>
      <c r="E3" s="118">
        <f>C3+D3</f>
        <v>1172.960990987347</v>
      </c>
      <c r="F3" s="118">
        <f t="shared" ref="F3:F76" si="2">B3-C3</f>
        <v>138041.68821307039</v>
      </c>
      <c r="G3" s="119">
        <v>2</v>
      </c>
      <c r="I3" s="4" t="s">
        <v>55</v>
      </c>
      <c r="J3" s="4">
        <v>0</v>
      </c>
    </row>
    <row r="4" spans="1:10" x14ac:dyDescent="0.25">
      <c r="A4" s="117" t="s">
        <v>52</v>
      </c>
      <c r="B4" s="118">
        <f t="shared" ref="B4:B13" si="3">F3</f>
        <v>138041.68821307039</v>
      </c>
      <c r="C4" s="118">
        <f t="shared" si="0"/>
        <v>482.7525499219953</v>
      </c>
      <c r="D4" s="118">
        <f t="shared" si="1"/>
        <v>690.20844106535196</v>
      </c>
      <c r="E4" s="118">
        <f t="shared" ref="E4:E10" si="4">C4+D4</f>
        <v>1172.9609909873473</v>
      </c>
      <c r="F4" s="118">
        <f t="shared" si="2"/>
        <v>137558.93566314838</v>
      </c>
      <c r="G4" s="119">
        <v>3</v>
      </c>
      <c r="I4" s="4" t="s">
        <v>57</v>
      </c>
      <c r="J4" s="8">
        <f>Assumptions!E32</f>
        <v>139000</v>
      </c>
    </row>
    <row r="5" spans="1:10" x14ac:dyDescent="0.25">
      <c r="A5" s="117" t="s">
        <v>54</v>
      </c>
      <c r="B5" s="118">
        <f t="shared" si="3"/>
        <v>137558.93566314838</v>
      </c>
      <c r="C5" s="118">
        <f t="shared" si="0"/>
        <v>485.16631267160528</v>
      </c>
      <c r="D5" s="118">
        <f t="shared" si="1"/>
        <v>687.79467831574175</v>
      </c>
      <c r="E5" s="118">
        <f t="shared" si="4"/>
        <v>1172.960990987347</v>
      </c>
      <c r="F5" s="118">
        <f t="shared" si="2"/>
        <v>137073.76935047677</v>
      </c>
      <c r="G5" s="119">
        <v>4</v>
      </c>
      <c r="I5" s="4"/>
      <c r="J5" s="4"/>
    </row>
    <row r="6" spans="1:10" x14ac:dyDescent="0.25">
      <c r="A6" s="117" t="s">
        <v>56</v>
      </c>
      <c r="B6" s="118">
        <f t="shared" si="3"/>
        <v>137073.76935047677</v>
      </c>
      <c r="C6" s="118">
        <f t="shared" si="0"/>
        <v>487.59214423496337</v>
      </c>
      <c r="D6" s="118">
        <f t="shared" si="1"/>
        <v>685.36884675238389</v>
      </c>
      <c r="E6" s="118">
        <f t="shared" si="4"/>
        <v>1172.9609909873473</v>
      </c>
      <c r="F6" s="118">
        <f t="shared" si="2"/>
        <v>136586.17720624182</v>
      </c>
      <c r="G6" s="119">
        <v>5</v>
      </c>
      <c r="I6" s="4" t="s">
        <v>47</v>
      </c>
      <c r="J6" s="8">
        <f>PMT(J1/12,J2*12,-J4,,J3)</f>
        <v>1172.9609909873473</v>
      </c>
    </row>
    <row r="7" spans="1:10" x14ac:dyDescent="0.25">
      <c r="A7" s="117" t="s">
        <v>58</v>
      </c>
      <c r="B7" s="118">
        <f t="shared" si="3"/>
        <v>136586.17720624182</v>
      </c>
      <c r="C7" s="118">
        <f t="shared" si="0"/>
        <v>490.03010495613819</v>
      </c>
      <c r="D7" s="118">
        <f t="shared" si="1"/>
        <v>682.93088603120907</v>
      </c>
      <c r="E7" s="118">
        <f t="shared" si="4"/>
        <v>1172.9609909873473</v>
      </c>
      <c r="F7" s="118">
        <f t="shared" si="2"/>
        <v>136096.14710128569</v>
      </c>
      <c r="G7" s="119">
        <v>6</v>
      </c>
      <c r="I7" s="4"/>
    </row>
    <row r="8" spans="1:10" x14ac:dyDescent="0.25">
      <c r="A8" s="117" t="s">
        <v>59</v>
      </c>
      <c r="B8" s="118">
        <f t="shared" si="3"/>
        <v>136096.14710128569</v>
      </c>
      <c r="C8" s="118">
        <f t="shared" si="0"/>
        <v>492.4802554809188</v>
      </c>
      <c r="D8" s="118">
        <f t="shared" si="1"/>
        <v>680.48073550642835</v>
      </c>
      <c r="E8" s="118">
        <f t="shared" si="4"/>
        <v>1172.960990987347</v>
      </c>
      <c r="F8" s="118">
        <f t="shared" si="2"/>
        <v>135603.66684580478</v>
      </c>
      <c r="G8" s="119">
        <v>7</v>
      </c>
      <c r="H8" s="4"/>
      <c r="I8" s="4"/>
    </row>
    <row r="9" spans="1:10" x14ac:dyDescent="0.25">
      <c r="A9" s="117" t="s">
        <v>60</v>
      </c>
      <c r="B9" s="118">
        <f t="shared" si="3"/>
        <v>135603.66684580478</v>
      </c>
      <c r="C9" s="118">
        <f t="shared" si="0"/>
        <v>494.94265675832344</v>
      </c>
      <c r="D9" s="118">
        <f t="shared" si="1"/>
        <v>678.01833422902371</v>
      </c>
      <c r="E9" s="118">
        <f t="shared" si="4"/>
        <v>1172.960990987347</v>
      </c>
      <c r="F9" s="118">
        <f t="shared" si="2"/>
        <v>135108.72418904645</v>
      </c>
      <c r="G9" s="119">
        <v>8</v>
      </c>
      <c r="H9" s="4"/>
      <c r="I9" s="4"/>
    </row>
    <row r="10" spans="1:10" x14ac:dyDescent="0.25">
      <c r="A10" s="117" t="s">
        <v>61</v>
      </c>
      <c r="B10" s="118">
        <f t="shared" si="3"/>
        <v>135108.72418904645</v>
      </c>
      <c r="C10" s="118">
        <f t="shared" si="0"/>
        <v>497.41737004211507</v>
      </c>
      <c r="D10" s="118">
        <f t="shared" si="1"/>
        <v>675.54362094523231</v>
      </c>
      <c r="E10" s="118">
        <f t="shared" si="4"/>
        <v>1172.9609909873475</v>
      </c>
      <c r="F10" s="118">
        <f t="shared" si="2"/>
        <v>134611.30681900433</v>
      </c>
      <c r="G10" s="119">
        <v>9</v>
      </c>
      <c r="H10" s="4"/>
      <c r="I10" s="4"/>
    </row>
    <row r="11" spans="1:10" x14ac:dyDescent="0.25">
      <c r="A11" s="117" t="s">
        <v>62</v>
      </c>
      <c r="B11" s="118">
        <f t="shared" si="3"/>
        <v>134611.30681900433</v>
      </c>
      <c r="C11" s="118">
        <f t="shared" si="0"/>
        <v>499.9044568923257</v>
      </c>
      <c r="D11" s="118">
        <f t="shared" si="1"/>
        <v>673.05653409502168</v>
      </c>
      <c r="E11" s="118">
        <f>$J$6</f>
        <v>1172.9609909873473</v>
      </c>
      <c r="F11" s="118">
        <f t="shared" si="2"/>
        <v>134111.40236211201</v>
      </c>
      <c r="G11" s="119">
        <v>10</v>
      </c>
      <c r="H11" s="4"/>
      <c r="I11" s="4"/>
      <c r="J11" s="16"/>
    </row>
    <row r="12" spans="1:10" x14ac:dyDescent="0.25">
      <c r="A12" s="117" t="s">
        <v>63</v>
      </c>
      <c r="B12" s="118">
        <f t="shared" si="3"/>
        <v>134111.40236211201</v>
      </c>
      <c r="C12" s="118">
        <f t="shared" si="0"/>
        <v>502.40397917678729</v>
      </c>
      <c r="D12" s="118">
        <f t="shared" si="1"/>
        <v>670.55701181055997</v>
      </c>
      <c r="E12" s="118">
        <f>$J$6</f>
        <v>1172.9609909873473</v>
      </c>
      <c r="F12" s="118">
        <f t="shared" si="2"/>
        <v>133608.99838293521</v>
      </c>
      <c r="G12" s="119">
        <v>11</v>
      </c>
      <c r="H12" s="4"/>
      <c r="I12" s="4"/>
      <c r="J12" s="16"/>
    </row>
    <row r="13" spans="1:10" x14ac:dyDescent="0.25">
      <c r="A13" s="120" t="s">
        <v>64</v>
      </c>
      <c r="B13" s="121">
        <f t="shared" si="3"/>
        <v>133608.99838293521</v>
      </c>
      <c r="C13" s="121">
        <f t="shared" si="0"/>
        <v>504.91599907267124</v>
      </c>
      <c r="D13" s="121">
        <f t="shared" si="1"/>
        <v>668.04499191467607</v>
      </c>
      <c r="E13" s="121">
        <f>$J$6</f>
        <v>1172.9609909873473</v>
      </c>
      <c r="F13" s="121">
        <f t="shared" si="2"/>
        <v>133104.08238386255</v>
      </c>
      <c r="G13" s="122">
        <v>12</v>
      </c>
      <c r="H13" s="4"/>
      <c r="I13" s="4"/>
      <c r="J13" s="16"/>
    </row>
    <row r="14" spans="1:10" x14ac:dyDescent="0.25">
      <c r="A14" s="92" t="s">
        <v>65</v>
      </c>
      <c r="B14" s="90"/>
      <c r="C14" s="93">
        <f>SUM(C2:C13)</f>
        <v>5895.9176161374744</v>
      </c>
      <c r="D14" s="93">
        <f>SUM(D2:D13)</f>
        <v>8179.6142757106927</v>
      </c>
      <c r="E14" s="90"/>
      <c r="F14" s="90"/>
      <c r="G14" s="91"/>
      <c r="H14" s="4"/>
    </row>
    <row r="15" spans="1:10" x14ac:dyDescent="0.25">
      <c r="A15" s="7"/>
      <c r="B15" s="6"/>
      <c r="C15" s="6"/>
      <c r="D15" s="6"/>
      <c r="E15" s="6"/>
      <c r="F15" s="6"/>
      <c r="G15" s="4"/>
      <c r="H15" s="4"/>
    </row>
    <row r="16" spans="1:10" x14ac:dyDescent="0.25">
      <c r="A16" s="123" t="s">
        <v>66</v>
      </c>
      <c r="B16" s="124">
        <f>F13</f>
        <v>133104.08238386255</v>
      </c>
      <c r="C16" s="124">
        <f t="shared" ref="C16:C27" si="5">PPMT($J$1/12,G16,$J$2*12,-$J$4,)</f>
        <v>507.44057906803448</v>
      </c>
      <c r="D16" s="124">
        <f t="shared" ref="D16:D27" si="6">IPMT($J$1/12,G16,$J$2*12,-$J$4)</f>
        <v>665.52041191931278</v>
      </c>
      <c r="E16" s="124">
        <f t="shared" ref="E16:E27" si="7">$J$6</f>
        <v>1172.9609909873473</v>
      </c>
      <c r="F16" s="124">
        <f t="shared" si="2"/>
        <v>132596.64180479452</v>
      </c>
      <c r="G16" s="125">
        <v>13</v>
      </c>
    </row>
    <row r="17" spans="1:7" x14ac:dyDescent="0.25">
      <c r="A17" s="126" t="s">
        <v>67</v>
      </c>
      <c r="B17" s="127">
        <f>F16</f>
        <v>132596.64180479452</v>
      </c>
      <c r="C17" s="127">
        <f t="shared" si="5"/>
        <v>509.97778196337475</v>
      </c>
      <c r="D17" s="127">
        <f t="shared" si="6"/>
        <v>662.98320902397245</v>
      </c>
      <c r="E17" s="127">
        <f t="shared" si="7"/>
        <v>1172.9609909873473</v>
      </c>
      <c r="F17" s="127">
        <f t="shared" si="2"/>
        <v>132086.66402283113</v>
      </c>
      <c r="G17" s="128">
        <v>14</v>
      </c>
    </row>
    <row r="18" spans="1:7" x14ac:dyDescent="0.25">
      <c r="A18" s="126" t="s">
        <v>68</v>
      </c>
      <c r="B18" s="127">
        <f t="shared" ref="B18:B27" si="8">F17</f>
        <v>132086.66402283113</v>
      </c>
      <c r="C18" s="127">
        <f t="shared" si="5"/>
        <v>512.5276708731916</v>
      </c>
      <c r="D18" s="127">
        <f t="shared" si="6"/>
        <v>660.43332011415566</v>
      </c>
      <c r="E18" s="127">
        <f t="shared" si="7"/>
        <v>1172.9609909873473</v>
      </c>
      <c r="F18" s="127">
        <f t="shared" si="2"/>
        <v>131574.13635195795</v>
      </c>
      <c r="G18" s="128">
        <v>15</v>
      </c>
    </row>
    <row r="19" spans="1:7" x14ac:dyDescent="0.25">
      <c r="A19" s="126" t="s">
        <v>69</v>
      </c>
      <c r="B19" s="127">
        <f t="shared" si="8"/>
        <v>131574.13635195795</v>
      </c>
      <c r="C19" s="127">
        <f t="shared" si="5"/>
        <v>515.09030922755755</v>
      </c>
      <c r="D19" s="127">
        <f t="shared" si="6"/>
        <v>657.87068175978959</v>
      </c>
      <c r="E19" s="127">
        <f t="shared" si="7"/>
        <v>1172.9609909873473</v>
      </c>
      <c r="F19" s="127">
        <f t="shared" si="2"/>
        <v>131059.04604273039</v>
      </c>
      <c r="G19" s="129">
        <v>16</v>
      </c>
    </row>
    <row r="20" spans="1:7" x14ac:dyDescent="0.25">
      <c r="A20" s="126" t="s">
        <v>70</v>
      </c>
      <c r="B20" s="127">
        <f t="shared" si="8"/>
        <v>131059.04604273039</v>
      </c>
      <c r="C20" s="127">
        <f t="shared" si="5"/>
        <v>517.66576077369541</v>
      </c>
      <c r="D20" s="127">
        <f t="shared" si="6"/>
        <v>655.29523021365185</v>
      </c>
      <c r="E20" s="127">
        <f t="shared" si="7"/>
        <v>1172.9609909873473</v>
      </c>
      <c r="F20" s="127">
        <f t="shared" si="2"/>
        <v>130541.38028195669</v>
      </c>
      <c r="G20" s="128">
        <v>17</v>
      </c>
    </row>
    <row r="21" spans="1:7" x14ac:dyDescent="0.25">
      <c r="A21" s="126" t="s">
        <v>71</v>
      </c>
      <c r="B21" s="127">
        <f t="shared" si="8"/>
        <v>130541.38028195669</v>
      </c>
      <c r="C21" s="127">
        <f t="shared" si="5"/>
        <v>520.25408957756383</v>
      </c>
      <c r="D21" s="127">
        <f t="shared" si="6"/>
        <v>652.7069014097832</v>
      </c>
      <c r="E21" s="127">
        <f t="shared" si="7"/>
        <v>1172.9609909873473</v>
      </c>
      <c r="F21" s="127">
        <f t="shared" si="2"/>
        <v>130021.12619237913</v>
      </c>
      <c r="G21" s="128">
        <v>18</v>
      </c>
    </row>
    <row r="22" spans="1:7" x14ac:dyDescent="0.25">
      <c r="A22" s="126" t="s">
        <v>72</v>
      </c>
      <c r="B22" s="127">
        <f t="shared" si="8"/>
        <v>130021.12619237913</v>
      </c>
      <c r="C22" s="127">
        <f t="shared" si="5"/>
        <v>522.85536002545166</v>
      </c>
      <c r="D22" s="127">
        <f t="shared" si="6"/>
        <v>650.1056309618956</v>
      </c>
      <c r="E22" s="127">
        <f t="shared" si="7"/>
        <v>1172.9609909873473</v>
      </c>
      <c r="F22" s="127">
        <f t="shared" si="2"/>
        <v>129498.27083235368</v>
      </c>
      <c r="G22" s="129">
        <v>19</v>
      </c>
    </row>
    <row r="23" spans="1:7" x14ac:dyDescent="0.25">
      <c r="A23" s="126" t="s">
        <v>73</v>
      </c>
      <c r="B23" s="127">
        <f t="shared" si="8"/>
        <v>129498.27083235368</v>
      </c>
      <c r="C23" s="127">
        <f t="shared" si="5"/>
        <v>525.46963682557885</v>
      </c>
      <c r="D23" s="127">
        <f t="shared" si="6"/>
        <v>647.4913541617683</v>
      </c>
      <c r="E23" s="127">
        <f t="shared" si="7"/>
        <v>1172.9609909873473</v>
      </c>
      <c r="F23" s="127">
        <f t="shared" si="2"/>
        <v>128972.8011955281</v>
      </c>
      <c r="G23" s="128">
        <v>20</v>
      </c>
    </row>
    <row r="24" spans="1:7" x14ac:dyDescent="0.25">
      <c r="A24" s="126" t="s">
        <v>74</v>
      </c>
      <c r="B24" s="127">
        <f t="shared" si="8"/>
        <v>128972.8011955281</v>
      </c>
      <c r="C24" s="127">
        <f t="shared" si="5"/>
        <v>528.09698500970683</v>
      </c>
      <c r="D24" s="127">
        <f t="shared" si="6"/>
        <v>644.86400597764032</v>
      </c>
      <c r="E24" s="127">
        <f t="shared" si="7"/>
        <v>1172.9609909873473</v>
      </c>
      <c r="F24" s="127">
        <f t="shared" si="2"/>
        <v>128444.70421051839</v>
      </c>
      <c r="G24" s="128">
        <v>21</v>
      </c>
    </row>
    <row r="25" spans="1:7" x14ac:dyDescent="0.25">
      <c r="A25" s="126" t="s">
        <v>75</v>
      </c>
      <c r="B25" s="127">
        <f t="shared" si="8"/>
        <v>128444.70421051839</v>
      </c>
      <c r="C25" s="127">
        <f t="shared" si="5"/>
        <v>530.73746993475538</v>
      </c>
      <c r="D25" s="127">
        <f t="shared" si="6"/>
        <v>642.22352105259188</v>
      </c>
      <c r="E25" s="127">
        <f t="shared" si="7"/>
        <v>1172.9609909873473</v>
      </c>
      <c r="F25" s="127">
        <f t="shared" si="2"/>
        <v>127913.96674058364</v>
      </c>
      <c r="G25" s="129">
        <v>22</v>
      </c>
    </row>
    <row r="26" spans="1:7" x14ac:dyDescent="0.25">
      <c r="A26" s="126" t="s">
        <v>76</v>
      </c>
      <c r="B26" s="127">
        <f t="shared" si="8"/>
        <v>127913.96674058364</v>
      </c>
      <c r="C26" s="127">
        <f t="shared" si="5"/>
        <v>533.39115728442914</v>
      </c>
      <c r="D26" s="127">
        <f t="shared" si="6"/>
        <v>639.56983370291812</v>
      </c>
      <c r="E26" s="127">
        <f t="shared" si="7"/>
        <v>1172.9609909873473</v>
      </c>
      <c r="F26" s="127">
        <f t="shared" si="2"/>
        <v>127380.57558329921</v>
      </c>
      <c r="G26" s="128">
        <v>23</v>
      </c>
    </row>
    <row r="27" spans="1:7" x14ac:dyDescent="0.25">
      <c r="A27" s="130" t="s">
        <v>77</v>
      </c>
      <c r="B27" s="131">
        <f t="shared" si="8"/>
        <v>127380.57558329921</v>
      </c>
      <c r="C27" s="131">
        <f t="shared" si="5"/>
        <v>536.05811307085116</v>
      </c>
      <c r="D27" s="131">
        <f t="shared" si="6"/>
        <v>636.90287791649598</v>
      </c>
      <c r="E27" s="131">
        <f t="shared" si="7"/>
        <v>1172.9609909873473</v>
      </c>
      <c r="F27" s="131">
        <f t="shared" si="2"/>
        <v>126844.51747022837</v>
      </c>
      <c r="G27" s="132">
        <v>24</v>
      </c>
    </row>
    <row r="28" spans="1:7" x14ac:dyDescent="0.25">
      <c r="A28" s="9" t="s">
        <v>65</v>
      </c>
      <c r="B28" s="6"/>
      <c r="C28" s="21">
        <f>SUM(C16:C27)</f>
        <v>6259.5649136341917</v>
      </c>
      <c r="D28" s="20">
        <f>SUM(D16:D27)</f>
        <v>7815.9669782139754</v>
      </c>
      <c r="E28" s="6"/>
      <c r="F28" s="6"/>
      <c r="G28" s="10"/>
    </row>
    <row r="29" spans="1:7" x14ac:dyDescent="0.25">
      <c r="A29" s="7"/>
      <c r="B29" s="6"/>
      <c r="C29" s="6"/>
      <c r="D29" s="6"/>
      <c r="E29" s="6"/>
      <c r="F29" s="6"/>
      <c r="G29" s="10"/>
    </row>
    <row r="30" spans="1:7" x14ac:dyDescent="0.25">
      <c r="A30" s="114" t="s">
        <v>78</v>
      </c>
      <c r="B30" s="115">
        <f>F27</f>
        <v>126844.51747022837</v>
      </c>
      <c r="C30" s="115">
        <f t="shared" ref="C30:C41" si="9">PPMT($J$1/12,G30,$J$2*12,-$J$4,)</f>
        <v>538.73840363620548</v>
      </c>
      <c r="D30" s="115">
        <f t="shared" ref="D30:D41" si="10">IPMT($J$1/12,G30,$J$2*12,-$J$4)</f>
        <v>634.22258735114167</v>
      </c>
      <c r="E30" s="115">
        <f t="shared" ref="E30:E41" si="11">$J$6</f>
        <v>1172.9609909873473</v>
      </c>
      <c r="F30" s="115">
        <f t="shared" si="2"/>
        <v>126305.77906659216</v>
      </c>
      <c r="G30" s="116">
        <v>25</v>
      </c>
    </row>
    <row r="31" spans="1:7" x14ac:dyDescent="0.25">
      <c r="A31" s="117" t="s">
        <v>79</v>
      </c>
      <c r="B31" s="118">
        <f>F30</f>
        <v>126305.77906659216</v>
      </c>
      <c r="C31" s="118">
        <f t="shared" si="9"/>
        <v>541.43209565438656</v>
      </c>
      <c r="D31" s="118">
        <f t="shared" si="10"/>
        <v>631.5288953329607</v>
      </c>
      <c r="E31" s="118">
        <f t="shared" si="11"/>
        <v>1172.9609909873473</v>
      </c>
      <c r="F31" s="118">
        <f t="shared" si="2"/>
        <v>125764.34697093778</v>
      </c>
      <c r="G31" s="119">
        <v>26</v>
      </c>
    </row>
    <row r="32" spans="1:7" x14ac:dyDescent="0.25">
      <c r="A32" s="117" t="s">
        <v>80</v>
      </c>
      <c r="B32" s="118">
        <f t="shared" ref="B32:B41" si="12">F31</f>
        <v>125764.34697093778</v>
      </c>
      <c r="C32" s="118">
        <f t="shared" si="9"/>
        <v>544.13925613265849</v>
      </c>
      <c r="D32" s="118">
        <f t="shared" si="10"/>
        <v>628.82173485468866</v>
      </c>
      <c r="E32" s="118">
        <f t="shared" si="11"/>
        <v>1172.9609909873473</v>
      </c>
      <c r="F32" s="118">
        <f t="shared" si="2"/>
        <v>125220.20771480512</v>
      </c>
      <c r="G32" s="119">
        <v>27</v>
      </c>
    </row>
    <row r="33" spans="1:7" x14ac:dyDescent="0.25">
      <c r="A33" s="117" t="s">
        <v>81</v>
      </c>
      <c r="B33" s="118">
        <f t="shared" si="12"/>
        <v>125220.20771480512</v>
      </c>
      <c r="C33" s="118">
        <f t="shared" si="9"/>
        <v>546.85995241332171</v>
      </c>
      <c r="D33" s="118">
        <f t="shared" si="10"/>
        <v>626.10103857402544</v>
      </c>
      <c r="E33" s="118">
        <f t="shared" si="11"/>
        <v>1172.9609909873473</v>
      </c>
      <c r="F33" s="118">
        <f t="shared" si="2"/>
        <v>124673.3477623918</v>
      </c>
      <c r="G33" s="119">
        <v>28</v>
      </c>
    </row>
    <row r="34" spans="1:7" x14ac:dyDescent="0.25">
      <c r="A34" s="117" t="s">
        <v>82</v>
      </c>
      <c r="B34" s="118">
        <f t="shared" si="12"/>
        <v>124673.3477623918</v>
      </c>
      <c r="C34" s="118">
        <f t="shared" si="9"/>
        <v>549.59425217538842</v>
      </c>
      <c r="D34" s="118">
        <f t="shared" si="10"/>
        <v>623.36673881195884</v>
      </c>
      <c r="E34" s="118">
        <f t="shared" si="11"/>
        <v>1172.9609909873473</v>
      </c>
      <c r="F34" s="118">
        <f t="shared" si="2"/>
        <v>124123.75351021641</v>
      </c>
      <c r="G34" s="119">
        <v>29</v>
      </c>
    </row>
    <row r="35" spans="1:7" x14ac:dyDescent="0.25">
      <c r="A35" s="117" t="s">
        <v>83</v>
      </c>
      <c r="B35" s="118">
        <f t="shared" si="12"/>
        <v>124123.75351021641</v>
      </c>
      <c r="C35" s="118">
        <f t="shared" si="9"/>
        <v>552.34222343626539</v>
      </c>
      <c r="D35" s="118">
        <f t="shared" si="10"/>
        <v>620.61876755108187</v>
      </c>
      <c r="E35" s="118">
        <f t="shared" si="11"/>
        <v>1172.9609909873473</v>
      </c>
      <c r="F35" s="118">
        <f t="shared" si="2"/>
        <v>123571.41128678015</v>
      </c>
      <c r="G35" s="119">
        <v>30</v>
      </c>
    </row>
    <row r="36" spans="1:7" x14ac:dyDescent="0.25">
      <c r="A36" s="117" t="s">
        <v>84</v>
      </c>
      <c r="B36" s="118">
        <f t="shared" si="12"/>
        <v>123571.41128678015</v>
      </c>
      <c r="C36" s="118">
        <f t="shared" si="9"/>
        <v>555.10393455344672</v>
      </c>
      <c r="D36" s="118">
        <f t="shared" si="10"/>
        <v>617.85705643390054</v>
      </c>
      <c r="E36" s="118">
        <f t="shared" si="11"/>
        <v>1172.9609909873473</v>
      </c>
      <c r="F36" s="118">
        <f t="shared" si="2"/>
        <v>123016.30735222669</v>
      </c>
      <c r="G36" s="119">
        <v>31</v>
      </c>
    </row>
    <row r="37" spans="1:7" x14ac:dyDescent="0.25">
      <c r="A37" s="117" t="s">
        <v>85</v>
      </c>
      <c r="B37" s="118">
        <f t="shared" si="12"/>
        <v>123016.30735222669</v>
      </c>
      <c r="C37" s="118">
        <f t="shared" si="9"/>
        <v>557.87945422621397</v>
      </c>
      <c r="D37" s="118">
        <f t="shared" si="10"/>
        <v>615.08153676113329</v>
      </c>
      <c r="E37" s="118">
        <f t="shared" si="11"/>
        <v>1172.9609909873473</v>
      </c>
      <c r="F37" s="118">
        <f t="shared" si="2"/>
        <v>122458.42789800047</v>
      </c>
      <c r="G37" s="119">
        <v>32</v>
      </c>
    </row>
    <row r="38" spans="1:7" x14ac:dyDescent="0.25">
      <c r="A38" s="117" t="s">
        <v>86</v>
      </c>
      <c r="B38" s="118">
        <f t="shared" si="12"/>
        <v>122458.42789800047</v>
      </c>
      <c r="C38" s="118">
        <f t="shared" si="9"/>
        <v>560.66885149734492</v>
      </c>
      <c r="D38" s="118">
        <f t="shared" si="10"/>
        <v>612.29213949000211</v>
      </c>
      <c r="E38" s="118">
        <f t="shared" si="11"/>
        <v>1172.9609909873473</v>
      </c>
      <c r="F38" s="118">
        <f t="shared" si="2"/>
        <v>121897.75904650312</v>
      </c>
      <c r="G38" s="119">
        <v>33</v>
      </c>
    </row>
    <row r="39" spans="1:7" x14ac:dyDescent="0.25">
      <c r="A39" s="117" t="s">
        <v>87</v>
      </c>
      <c r="B39" s="118">
        <f t="shared" si="12"/>
        <v>121897.75904650312</v>
      </c>
      <c r="C39" s="118">
        <f t="shared" si="9"/>
        <v>563.47219575483166</v>
      </c>
      <c r="D39" s="118">
        <f t="shared" si="10"/>
        <v>609.48879523251549</v>
      </c>
      <c r="E39" s="118">
        <f t="shared" si="11"/>
        <v>1172.9609909873473</v>
      </c>
      <c r="F39" s="118">
        <f t="shared" si="2"/>
        <v>121334.28685074829</v>
      </c>
      <c r="G39" s="119">
        <v>34</v>
      </c>
    </row>
    <row r="40" spans="1:7" x14ac:dyDescent="0.25">
      <c r="A40" s="117" t="s">
        <v>88</v>
      </c>
      <c r="B40" s="118">
        <f t="shared" si="12"/>
        <v>121334.28685074829</v>
      </c>
      <c r="C40" s="118">
        <f t="shared" si="9"/>
        <v>566.28955673360588</v>
      </c>
      <c r="D40" s="118">
        <f t="shared" si="10"/>
        <v>606.67143425374127</v>
      </c>
      <c r="E40" s="118">
        <f t="shared" si="11"/>
        <v>1172.9609909873473</v>
      </c>
      <c r="F40" s="118">
        <f t="shared" si="2"/>
        <v>120767.99729401468</v>
      </c>
      <c r="G40" s="119">
        <v>35</v>
      </c>
    </row>
    <row r="41" spans="1:7" x14ac:dyDescent="0.25">
      <c r="A41" s="120" t="s">
        <v>89</v>
      </c>
      <c r="B41" s="121">
        <f t="shared" si="12"/>
        <v>120767.99729401468</v>
      </c>
      <c r="C41" s="121">
        <f t="shared" si="9"/>
        <v>569.12100451727383</v>
      </c>
      <c r="D41" s="121">
        <f t="shared" si="10"/>
        <v>603.83998647007343</v>
      </c>
      <c r="E41" s="121">
        <f t="shared" si="11"/>
        <v>1172.9609909873473</v>
      </c>
      <c r="F41" s="121">
        <f t="shared" si="2"/>
        <v>120198.87628949741</v>
      </c>
      <c r="G41" s="122">
        <v>36</v>
      </c>
    </row>
    <row r="42" spans="1:7" x14ac:dyDescent="0.25">
      <c r="A42" s="92" t="s">
        <v>65</v>
      </c>
      <c r="B42" s="90"/>
      <c r="C42" s="94">
        <f>SUM(C30:C41)</f>
        <v>6645.6411807309432</v>
      </c>
      <c r="D42" s="93">
        <f>SUM(D30:D41)</f>
        <v>7429.890711117223</v>
      </c>
      <c r="E42" s="90"/>
      <c r="F42" s="90"/>
      <c r="G42" s="91"/>
    </row>
    <row r="43" spans="1:7" x14ac:dyDescent="0.25">
      <c r="A43" s="7"/>
      <c r="B43" s="6"/>
      <c r="C43" s="6"/>
      <c r="D43" s="6"/>
      <c r="E43" s="6"/>
      <c r="F43" s="6"/>
      <c r="G43" s="10"/>
    </row>
    <row r="44" spans="1:7" x14ac:dyDescent="0.25">
      <c r="A44" s="123" t="s">
        <v>90</v>
      </c>
      <c r="B44" s="124">
        <f>F41</f>
        <v>120198.87628949741</v>
      </c>
      <c r="C44" s="124">
        <f t="shared" ref="C44:C55" si="13">PPMT($J$1/12,G44,$J$2*12,-$J$4,)</f>
        <v>571.9666095398602</v>
      </c>
      <c r="D44" s="124">
        <f t="shared" ref="D44:D55" si="14">IPMT($J$1/12,G44,$J$2*12,-$J$4)</f>
        <v>600.99438144748694</v>
      </c>
      <c r="E44" s="124">
        <f t="shared" ref="E44:E55" si="15">$J$6</f>
        <v>1172.9609909873473</v>
      </c>
      <c r="F44" s="124">
        <f t="shared" si="2"/>
        <v>119626.90967995755</v>
      </c>
      <c r="G44" s="133">
        <v>37</v>
      </c>
    </row>
    <row r="45" spans="1:7" x14ac:dyDescent="0.25">
      <c r="A45" s="126" t="s">
        <v>91</v>
      </c>
      <c r="B45" s="127">
        <f>F44</f>
        <v>119626.90967995755</v>
      </c>
      <c r="C45" s="127">
        <f t="shared" si="13"/>
        <v>574.82644258755954</v>
      </c>
      <c r="D45" s="127">
        <f t="shared" si="14"/>
        <v>598.13454839978772</v>
      </c>
      <c r="E45" s="127">
        <f t="shared" si="15"/>
        <v>1172.9609909873473</v>
      </c>
      <c r="F45" s="127">
        <f t="shared" si="2"/>
        <v>119052.08323737</v>
      </c>
      <c r="G45" s="128">
        <v>38</v>
      </c>
    </row>
    <row r="46" spans="1:7" x14ac:dyDescent="0.25">
      <c r="A46" s="126" t="s">
        <v>92</v>
      </c>
      <c r="B46" s="127">
        <f t="shared" ref="B46:B54" si="16">F45</f>
        <v>119052.08323737</v>
      </c>
      <c r="C46" s="127">
        <f t="shared" si="13"/>
        <v>577.70057480049741</v>
      </c>
      <c r="D46" s="127">
        <f t="shared" si="14"/>
        <v>595.26041618684997</v>
      </c>
      <c r="E46" s="127">
        <f t="shared" si="15"/>
        <v>1172.9609909873473</v>
      </c>
      <c r="F46" s="127">
        <f t="shared" si="2"/>
        <v>118474.38266256949</v>
      </c>
      <c r="G46" s="128">
        <v>39</v>
      </c>
    </row>
    <row r="47" spans="1:7" x14ac:dyDescent="0.25">
      <c r="A47" s="126" t="s">
        <v>93</v>
      </c>
      <c r="B47" s="127">
        <f t="shared" si="16"/>
        <v>118474.38266256949</v>
      </c>
      <c r="C47" s="127">
        <f t="shared" si="13"/>
        <v>580.58907767449978</v>
      </c>
      <c r="D47" s="127">
        <f t="shared" si="14"/>
        <v>592.37191331284737</v>
      </c>
      <c r="E47" s="127">
        <f t="shared" si="15"/>
        <v>1172.9609909873473</v>
      </c>
      <c r="F47" s="127">
        <f t="shared" si="2"/>
        <v>117893.793584895</v>
      </c>
      <c r="G47" s="128">
        <v>40</v>
      </c>
    </row>
    <row r="48" spans="1:7" x14ac:dyDescent="0.25">
      <c r="A48" s="126" t="s">
        <v>94</v>
      </c>
      <c r="B48" s="127">
        <f t="shared" si="16"/>
        <v>117893.793584895</v>
      </c>
      <c r="C48" s="127">
        <f t="shared" si="13"/>
        <v>583.49202306287236</v>
      </c>
      <c r="D48" s="127">
        <f t="shared" si="14"/>
        <v>589.4689679244749</v>
      </c>
      <c r="E48" s="127">
        <f t="shared" si="15"/>
        <v>1172.9609909873473</v>
      </c>
      <c r="F48" s="127">
        <f t="shared" si="2"/>
        <v>117310.30156183212</v>
      </c>
      <c r="G48" s="128">
        <v>41</v>
      </c>
    </row>
    <row r="49" spans="1:7" x14ac:dyDescent="0.25">
      <c r="A49" s="126" t="s">
        <v>95</v>
      </c>
      <c r="B49" s="127">
        <f t="shared" si="16"/>
        <v>117310.30156183212</v>
      </c>
      <c r="C49" s="127">
        <f t="shared" si="13"/>
        <v>586.40948317818675</v>
      </c>
      <c r="D49" s="127">
        <f t="shared" si="14"/>
        <v>586.55150780916051</v>
      </c>
      <c r="E49" s="127">
        <f t="shared" si="15"/>
        <v>1172.9609909873473</v>
      </c>
      <c r="F49" s="127">
        <f t="shared" si="2"/>
        <v>116723.89207865394</v>
      </c>
      <c r="G49" s="128">
        <v>42</v>
      </c>
    </row>
    <row r="50" spans="1:7" x14ac:dyDescent="0.25">
      <c r="A50" s="126" t="s">
        <v>96</v>
      </c>
      <c r="B50" s="127">
        <f t="shared" si="16"/>
        <v>116723.89207865394</v>
      </c>
      <c r="C50" s="127">
        <f t="shared" si="13"/>
        <v>589.34153059407754</v>
      </c>
      <c r="D50" s="127">
        <f t="shared" si="14"/>
        <v>583.61946039326949</v>
      </c>
      <c r="E50" s="127">
        <f t="shared" si="15"/>
        <v>1172.9609909873473</v>
      </c>
      <c r="F50" s="127">
        <f t="shared" si="2"/>
        <v>116134.55054805987</v>
      </c>
      <c r="G50" s="128">
        <v>43</v>
      </c>
    </row>
    <row r="51" spans="1:7" x14ac:dyDescent="0.25">
      <c r="A51" s="126" t="s">
        <v>97</v>
      </c>
      <c r="B51" s="127">
        <f t="shared" si="16"/>
        <v>116134.55054805987</v>
      </c>
      <c r="C51" s="127">
        <f t="shared" si="13"/>
        <v>592.28823824704796</v>
      </c>
      <c r="D51" s="127">
        <f t="shared" si="14"/>
        <v>580.67275274029907</v>
      </c>
      <c r="E51" s="127">
        <f t="shared" si="15"/>
        <v>1172.9609909873473</v>
      </c>
      <c r="F51" s="127">
        <f t="shared" si="2"/>
        <v>115542.26230981282</v>
      </c>
      <c r="G51" s="128">
        <v>44</v>
      </c>
    </row>
    <row r="52" spans="1:7" x14ac:dyDescent="0.25">
      <c r="A52" s="126" t="s">
        <v>98</v>
      </c>
      <c r="B52" s="127">
        <f t="shared" si="16"/>
        <v>115542.26230981282</v>
      </c>
      <c r="C52" s="127">
        <f t="shared" si="13"/>
        <v>595.24967943828324</v>
      </c>
      <c r="D52" s="127">
        <f t="shared" si="14"/>
        <v>577.71131154906379</v>
      </c>
      <c r="E52" s="127">
        <f t="shared" si="15"/>
        <v>1172.9609909873473</v>
      </c>
      <c r="F52" s="127">
        <f t="shared" si="2"/>
        <v>114947.01263037453</v>
      </c>
      <c r="G52" s="128">
        <v>45</v>
      </c>
    </row>
    <row r="53" spans="1:7" x14ac:dyDescent="0.25">
      <c r="A53" s="126" t="s">
        <v>99</v>
      </c>
      <c r="B53" s="127">
        <f t="shared" si="16"/>
        <v>114947.01263037453</v>
      </c>
      <c r="C53" s="127">
        <f t="shared" si="13"/>
        <v>598.22592783547475</v>
      </c>
      <c r="D53" s="127">
        <f t="shared" si="14"/>
        <v>574.73506315187251</v>
      </c>
      <c r="E53" s="127">
        <f t="shared" si="15"/>
        <v>1172.9609909873473</v>
      </c>
      <c r="F53" s="127">
        <f t="shared" si="2"/>
        <v>114348.78670253906</v>
      </c>
      <c r="G53" s="128">
        <v>46</v>
      </c>
    </row>
    <row r="54" spans="1:7" x14ac:dyDescent="0.25">
      <c r="A54" s="126" t="s">
        <v>100</v>
      </c>
      <c r="B54" s="127">
        <f t="shared" si="16"/>
        <v>114348.78670253906</v>
      </c>
      <c r="C54" s="127">
        <f t="shared" si="13"/>
        <v>601.21705747465217</v>
      </c>
      <c r="D54" s="127">
        <f t="shared" si="14"/>
        <v>571.74393351269521</v>
      </c>
      <c r="E54" s="127">
        <f t="shared" si="15"/>
        <v>1172.9609909873473</v>
      </c>
      <c r="F54" s="127">
        <f t="shared" si="2"/>
        <v>113747.5696450644</v>
      </c>
      <c r="G54" s="128">
        <v>47</v>
      </c>
    </row>
    <row r="55" spans="1:7" x14ac:dyDescent="0.25">
      <c r="A55" s="130" t="s">
        <v>101</v>
      </c>
      <c r="B55" s="131">
        <f>F54</f>
        <v>113747.5696450644</v>
      </c>
      <c r="C55" s="131">
        <f t="shared" si="13"/>
        <v>604.2231427620253</v>
      </c>
      <c r="D55" s="131">
        <f t="shared" si="14"/>
        <v>568.73784822532195</v>
      </c>
      <c r="E55" s="131">
        <f t="shared" si="15"/>
        <v>1172.9609909873473</v>
      </c>
      <c r="F55" s="131">
        <f t="shared" si="2"/>
        <v>113143.34650230237</v>
      </c>
      <c r="G55" s="132">
        <v>48</v>
      </c>
    </row>
    <row r="56" spans="1:7" x14ac:dyDescent="0.25">
      <c r="A56" s="9" t="s">
        <v>65</v>
      </c>
      <c r="B56" s="6"/>
      <c r="C56" s="21">
        <f>SUM(C44:C55)</f>
        <v>7055.5297871950379</v>
      </c>
      <c r="D56" s="20">
        <f>SUM(D44:D55)</f>
        <v>7020.0021046531292</v>
      </c>
      <c r="E56" s="6"/>
      <c r="F56" s="6"/>
      <c r="G56" s="10"/>
    </row>
    <row r="57" spans="1:7" x14ac:dyDescent="0.25">
      <c r="A57" s="7"/>
      <c r="B57" s="6"/>
      <c r="C57" s="6"/>
      <c r="D57" s="6"/>
      <c r="E57" s="6"/>
      <c r="F57" s="6"/>
      <c r="G57" s="10"/>
    </row>
    <row r="58" spans="1:7" x14ac:dyDescent="0.25">
      <c r="A58" s="114" t="s">
        <v>135</v>
      </c>
      <c r="B58" s="115">
        <f>F55</f>
        <v>113143.34650230237</v>
      </c>
      <c r="C58" s="115">
        <f t="shared" ref="C58:C69" si="17">PPMT($J$1/12,G58,$J$2*12,-$J$4,)</f>
        <v>607.24425847583541</v>
      </c>
      <c r="D58" s="115">
        <f t="shared" ref="D58:D69" si="18">IPMT($J$1/12,G58,$J$2*12,-$J$4)</f>
        <v>565.71673251151174</v>
      </c>
      <c r="E58" s="115">
        <f t="shared" ref="E58:E69" si="19">$J$6</f>
        <v>1172.9609909873473</v>
      </c>
      <c r="F58" s="115">
        <f t="shared" si="2"/>
        <v>112536.10224382654</v>
      </c>
      <c r="G58" s="116">
        <v>49</v>
      </c>
    </row>
    <row r="59" spans="1:7" x14ac:dyDescent="0.25">
      <c r="A59" s="117" t="s">
        <v>136</v>
      </c>
      <c r="B59" s="118">
        <f t="shared" ref="B59" si="20">F58</f>
        <v>112536.10224382654</v>
      </c>
      <c r="C59" s="118">
        <f t="shared" si="17"/>
        <v>610.2804797682146</v>
      </c>
      <c r="D59" s="118">
        <f t="shared" si="18"/>
        <v>562.68051121913265</v>
      </c>
      <c r="E59" s="118">
        <f t="shared" si="19"/>
        <v>1172.9609909873473</v>
      </c>
      <c r="F59" s="118">
        <f t="shared" si="2"/>
        <v>111925.82176405832</v>
      </c>
      <c r="G59" s="119">
        <v>50</v>
      </c>
    </row>
    <row r="60" spans="1:7" x14ac:dyDescent="0.25">
      <c r="A60" s="117" t="s">
        <v>137</v>
      </c>
      <c r="B60" s="118">
        <f t="shared" ref="B60:B125" si="21">F59</f>
        <v>111925.82176405832</v>
      </c>
      <c r="C60" s="118">
        <f t="shared" si="17"/>
        <v>613.33188216705571</v>
      </c>
      <c r="D60" s="118">
        <f t="shared" si="18"/>
        <v>559.62910882029155</v>
      </c>
      <c r="E60" s="118">
        <f t="shared" si="19"/>
        <v>1172.9609909873473</v>
      </c>
      <c r="F60" s="118">
        <f t="shared" si="2"/>
        <v>111312.48988189126</v>
      </c>
      <c r="G60" s="119">
        <v>51</v>
      </c>
    </row>
    <row r="61" spans="1:7" x14ac:dyDescent="0.25">
      <c r="A61" s="117" t="s">
        <v>138</v>
      </c>
      <c r="B61" s="118">
        <f t="shared" si="21"/>
        <v>111312.48988189126</v>
      </c>
      <c r="C61" s="118">
        <f t="shared" si="17"/>
        <v>616.39854157789091</v>
      </c>
      <c r="D61" s="118">
        <f t="shared" si="18"/>
        <v>556.56244940945624</v>
      </c>
      <c r="E61" s="118">
        <f t="shared" si="19"/>
        <v>1172.9609909873473</v>
      </c>
      <c r="F61" s="118">
        <f t="shared" si="2"/>
        <v>110696.09134031337</v>
      </c>
      <c r="G61" s="119">
        <v>52</v>
      </c>
    </row>
    <row r="62" spans="1:7" x14ac:dyDescent="0.25">
      <c r="A62" s="117" t="s">
        <v>139</v>
      </c>
      <c r="B62" s="118">
        <f t="shared" si="21"/>
        <v>110696.09134031337</v>
      </c>
      <c r="C62" s="118">
        <f t="shared" si="17"/>
        <v>619.48053428578044</v>
      </c>
      <c r="D62" s="118">
        <f t="shared" si="18"/>
        <v>553.48045670156671</v>
      </c>
      <c r="E62" s="118">
        <f t="shared" si="19"/>
        <v>1172.9609909873473</v>
      </c>
      <c r="F62" s="118">
        <f t="shared" si="2"/>
        <v>110076.61080602759</v>
      </c>
      <c r="G62" s="119">
        <v>53</v>
      </c>
    </row>
    <row r="63" spans="1:7" x14ac:dyDescent="0.25">
      <c r="A63" s="117" t="s">
        <v>140</v>
      </c>
      <c r="B63" s="118">
        <f t="shared" si="21"/>
        <v>110076.61080602759</v>
      </c>
      <c r="C63" s="118">
        <f t="shared" si="17"/>
        <v>622.57793695720932</v>
      </c>
      <c r="D63" s="118">
        <f t="shared" si="18"/>
        <v>550.38305403013783</v>
      </c>
      <c r="E63" s="118">
        <f t="shared" si="19"/>
        <v>1172.9609909873473</v>
      </c>
      <c r="F63" s="118">
        <f t="shared" si="2"/>
        <v>109454.03286907038</v>
      </c>
      <c r="G63" s="119">
        <v>54</v>
      </c>
    </row>
    <row r="64" spans="1:7" x14ac:dyDescent="0.25">
      <c r="A64" s="117" t="s">
        <v>141</v>
      </c>
      <c r="B64" s="118">
        <f t="shared" si="21"/>
        <v>109454.03286907038</v>
      </c>
      <c r="C64" s="118">
        <f t="shared" si="17"/>
        <v>625.69082664199539</v>
      </c>
      <c r="D64" s="118">
        <f t="shared" si="18"/>
        <v>547.27016434535176</v>
      </c>
      <c r="E64" s="118">
        <f t="shared" si="19"/>
        <v>1172.9609909873473</v>
      </c>
      <c r="F64" s="118">
        <f t="shared" si="2"/>
        <v>108828.34204242838</v>
      </c>
      <c r="G64" s="119">
        <v>55</v>
      </c>
    </row>
    <row r="65" spans="1:7" x14ac:dyDescent="0.25">
      <c r="A65" s="117" t="s">
        <v>142</v>
      </c>
      <c r="B65" s="118">
        <f t="shared" si="21"/>
        <v>108828.34204242838</v>
      </c>
      <c r="C65" s="118">
        <f t="shared" si="17"/>
        <v>628.81928077520547</v>
      </c>
      <c r="D65" s="118">
        <f t="shared" si="18"/>
        <v>544.14171021214179</v>
      </c>
      <c r="E65" s="118">
        <f t="shared" si="19"/>
        <v>1172.9609909873473</v>
      </c>
      <c r="F65" s="118">
        <f t="shared" si="2"/>
        <v>108199.52276165318</v>
      </c>
      <c r="G65" s="119">
        <v>56</v>
      </c>
    </row>
    <row r="66" spans="1:7" x14ac:dyDescent="0.25">
      <c r="A66" s="117" t="s">
        <v>143</v>
      </c>
      <c r="B66" s="118">
        <f t="shared" si="21"/>
        <v>108199.52276165318</v>
      </c>
      <c r="C66" s="118">
        <f t="shared" si="17"/>
        <v>631.96337717908148</v>
      </c>
      <c r="D66" s="118">
        <f t="shared" si="18"/>
        <v>540.99761380826578</v>
      </c>
      <c r="E66" s="118">
        <f t="shared" si="19"/>
        <v>1172.9609909873473</v>
      </c>
      <c r="F66" s="118">
        <f t="shared" si="2"/>
        <v>107567.55938447409</v>
      </c>
      <c r="G66" s="119">
        <v>57</v>
      </c>
    </row>
    <row r="67" spans="1:7" x14ac:dyDescent="0.25">
      <c r="A67" s="117" t="s">
        <v>144</v>
      </c>
      <c r="B67" s="118">
        <f t="shared" si="21"/>
        <v>107567.55938447409</v>
      </c>
      <c r="C67" s="118">
        <f t="shared" si="17"/>
        <v>635.12319406497681</v>
      </c>
      <c r="D67" s="118">
        <f t="shared" si="18"/>
        <v>537.83779692237033</v>
      </c>
      <c r="E67" s="118">
        <f t="shared" si="19"/>
        <v>1172.9609909873473</v>
      </c>
      <c r="F67" s="118">
        <f t="shared" si="2"/>
        <v>106932.43619040912</v>
      </c>
      <c r="G67" s="119">
        <v>58</v>
      </c>
    </row>
    <row r="68" spans="1:7" x14ac:dyDescent="0.25">
      <c r="A68" s="117" t="s">
        <v>145</v>
      </c>
      <c r="B68" s="118">
        <f t="shared" si="21"/>
        <v>106932.43619040912</v>
      </c>
      <c r="C68" s="118">
        <f t="shared" si="17"/>
        <v>638.29881003530159</v>
      </c>
      <c r="D68" s="118">
        <f t="shared" si="18"/>
        <v>534.66218095204556</v>
      </c>
      <c r="E68" s="118">
        <f t="shared" si="19"/>
        <v>1172.9609909873473</v>
      </c>
      <c r="F68" s="118">
        <f t="shared" si="2"/>
        <v>106294.13738037382</v>
      </c>
      <c r="G68" s="119">
        <v>59</v>
      </c>
    </row>
    <row r="69" spans="1:7" x14ac:dyDescent="0.25">
      <c r="A69" s="120" t="s">
        <v>146</v>
      </c>
      <c r="B69" s="121">
        <f t="shared" si="21"/>
        <v>106294.13738037382</v>
      </c>
      <c r="C69" s="121">
        <f t="shared" si="17"/>
        <v>641.4903040854781</v>
      </c>
      <c r="D69" s="121">
        <f t="shared" si="18"/>
        <v>531.47068690186904</v>
      </c>
      <c r="E69" s="121">
        <f t="shared" si="19"/>
        <v>1172.9609909873473</v>
      </c>
      <c r="F69" s="121">
        <f t="shared" si="2"/>
        <v>105652.64707628834</v>
      </c>
      <c r="G69" s="122">
        <v>60</v>
      </c>
    </row>
    <row r="70" spans="1:7" x14ac:dyDescent="0.25">
      <c r="A70" s="92" t="s">
        <v>65</v>
      </c>
      <c r="B70" s="90"/>
      <c r="C70" s="94">
        <f>SUM(C58:C69)</f>
        <v>7490.6994260140245</v>
      </c>
      <c r="D70" s="93">
        <f>SUM(D58:D69)</f>
        <v>6584.8324658341407</v>
      </c>
      <c r="E70" s="90"/>
      <c r="F70" s="90"/>
      <c r="G70" s="91"/>
    </row>
    <row r="71" spans="1:7" x14ac:dyDescent="0.25">
      <c r="A71" s="7"/>
      <c r="B71" s="6"/>
      <c r="C71" s="6"/>
      <c r="D71" s="6"/>
      <c r="E71" s="6"/>
      <c r="F71" s="6"/>
      <c r="G71" s="10"/>
    </row>
    <row r="72" spans="1:7" x14ac:dyDescent="0.25">
      <c r="A72" s="123" t="s">
        <v>147</v>
      </c>
      <c r="B72" s="124">
        <f>F69</f>
        <v>105652.64707628834</v>
      </c>
      <c r="C72" s="124">
        <f t="shared" ref="C72:C83" si="22">PPMT($J$1/12,G72,$J$2*12,-$J$4,)</f>
        <v>644.69775560590551</v>
      </c>
      <c r="D72" s="124">
        <f t="shared" ref="D72:D83" si="23">IPMT($J$1/12,G72,$J$2*12,-$J$4)</f>
        <v>528.26323538144163</v>
      </c>
      <c r="E72" s="124">
        <f t="shared" ref="E72:E83" si="24">$J$6</f>
        <v>1172.9609909873473</v>
      </c>
      <c r="F72" s="124">
        <f t="shared" si="2"/>
        <v>105007.94932068244</v>
      </c>
      <c r="G72" s="133">
        <v>61</v>
      </c>
    </row>
    <row r="73" spans="1:7" x14ac:dyDescent="0.25">
      <c r="A73" s="126" t="s">
        <v>148</v>
      </c>
      <c r="B73" s="127">
        <f t="shared" si="21"/>
        <v>105007.94932068244</v>
      </c>
      <c r="C73" s="127">
        <f t="shared" si="22"/>
        <v>647.92124438393512</v>
      </c>
      <c r="D73" s="127">
        <f t="shared" si="23"/>
        <v>525.03974660341225</v>
      </c>
      <c r="E73" s="127">
        <f t="shared" si="24"/>
        <v>1172.9609909873473</v>
      </c>
      <c r="F73" s="127">
        <f t="shared" si="2"/>
        <v>104360.02807629851</v>
      </c>
      <c r="G73" s="128">
        <v>62</v>
      </c>
    </row>
    <row r="74" spans="1:7" x14ac:dyDescent="0.25">
      <c r="A74" s="126" t="s">
        <v>149</v>
      </c>
      <c r="B74" s="127">
        <f t="shared" si="21"/>
        <v>104360.02807629851</v>
      </c>
      <c r="C74" s="127">
        <f t="shared" si="22"/>
        <v>651.16085060585476</v>
      </c>
      <c r="D74" s="127">
        <f t="shared" si="23"/>
        <v>521.8001403814925</v>
      </c>
      <c r="E74" s="127">
        <f t="shared" si="24"/>
        <v>1172.9609909873473</v>
      </c>
      <c r="F74" s="127">
        <f t="shared" si="2"/>
        <v>103708.86722569265</v>
      </c>
      <c r="G74" s="128">
        <v>63</v>
      </c>
    </row>
    <row r="75" spans="1:7" x14ac:dyDescent="0.25">
      <c r="A75" s="126" t="s">
        <v>150</v>
      </c>
      <c r="B75" s="127">
        <f t="shared" si="21"/>
        <v>103708.86722569265</v>
      </c>
      <c r="C75" s="127">
        <f t="shared" si="22"/>
        <v>654.41665485888404</v>
      </c>
      <c r="D75" s="127">
        <f t="shared" si="23"/>
        <v>518.5443361284631</v>
      </c>
      <c r="E75" s="127">
        <f t="shared" si="24"/>
        <v>1172.9609909873473</v>
      </c>
      <c r="F75" s="127">
        <f t="shared" si="2"/>
        <v>103054.45057083377</v>
      </c>
      <c r="G75" s="128">
        <v>64</v>
      </c>
    </row>
    <row r="76" spans="1:7" x14ac:dyDescent="0.25">
      <c r="A76" s="126" t="s">
        <v>151</v>
      </c>
      <c r="B76" s="127">
        <f t="shared" si="21"/>
        <v>103054.45057083377</v>
      </c>
      <c r="C76" s="127">
        <f t="shared" si="22"/>
        <v>657.68873813317839</v>
      </c>
      <c r="D76" s="127">
        <f t="shared" si="23"/>
        <v>515.27225285416887</v>
      </c>
      <c r="E76" s="127">
        <f t="shared" si="24"/>
        <v>1172.9609909873473</v>
      </c>
      <c r="F76" s="127">
        <f t="shared" si="2"/>
        <v>102396.76183270059</v>
      </c>
      <c r="G76" s="128">
        <v>65</v>
      </c>
    </row>
    <row r="77" spans="1:7" x14ac:dyDescent="0.25">
      <c r="A77" s="126" t="s">
        <v>152</v>
      </c>
      <c r="B77" s="127">
        <f t="shared" si="21"/>
        <v>102396.76183270059</v>
      </c>
      <c r="C77" s="127">
        <f t="shared" si="22"/>
        <v>660.97718182384426</v>
      </c>
      <c r="D77" s="127">
        <f t="shared" si="23"/>
        <v>511.98380916350283</v>
      </c>
      <c r="E77" s="127">
        <f t="shared" si="24"/>
        <v>1172.9609909873473</v>
      </c>
      <c r="F77" s="127">
        <f t="shared" ref="F77:F150" si="25">B77-C77</f>
        <v>101735.78465087674</v>
      </c>
      <c r="G77" s="128">
        <v>66</v>
      </c>
    </row>
    <row r="78" spans="1:7" x14ac:dyDescent="0.25">
      <c r="A78" s="126" t="s">
        <v>153</v>
      </c>
      <c r="B78" s="127">
        <f t="shared" si="21"/>
        <v>101735.78465087674</v>
      </c>
      <c r="C78" s="127">
        <f t="shared" si="22"/>
        <v>664.28206773296358</v>
      </c>
      <c r="D78" s="127">
        <f t="shared" si="23"/>
        <v>508.67892325438362</v>
      </c>
      <c r="E78" s="127">
        <f t="shared" si="24"/>
        <v>1172.9609909873473</v>
      </c>
      <c r="F78" s="127">
        <f t="shared" si="25"/>
        <v>101071.50258314378</v>
      </c>
      <c r="G78" s="128">
        <v>67</v>
      </c>
    </row>
    <row r="79" spans="1:7" x14ac:dyDescent="0.25">
      <c r="A79" s="126" t="s">
        <v>154</v>
      </c>
      <c r="B79" s="127">
        <f t="shared" si="21"/>
        <v>101071.50258314378</v>
      </c>
      <c r="C79" s="127">
        <f t="shared" si="22"/>
        <v>667.6034780716285</v>
      </c>
      <c r="D79" s="127">
        <f t="shared" si="23"/>
        <v>505.35751291571876</v>
      </c>
      <c r="E79" s="127">
        <f t="shared" si="24"/>
        <v>1172.9609909873473</v>
      </c>
      <c r="F79" s="127">
        <f t="shared" si="25"/>
        <v>100403.89910507215</v>
      </c>
      <c r="G79" s="128">
        <v>68</v>
      </c>
    </row>
    <row r="80" spans="1:7" x14ac:dyDescent="0.25">
      <c r="A80" s="126" t="s">
        <v>155</v>
      </c>
      <c r="B80" s="127">
        <f t="shared" si="21"/>
        <v>100403.89910507215</v>
      </c>
      <c r="C80" s="127">
        <f t="shared" si="22"/>
        <v>670.94149546198662</v>
      </c>
      <c r="D80" s="127">
        <f t="shared" si="23"/>
        <v>502.01949552536064</v>
      </c>
      <c r="E80" s="127">
        <f t="shared" si="24"/>
        <v>1172.9609909873473</v>
      </c>
      <c r="F80" s="127">
        <f t="shared" si="25"/>
        <v>99732.957609610166</v>
      </c>
      <c r="G80" s="128">
        <v>69</v>
      </c>
    </row>
    <row r="81" spans="1:7" x14ac:dyDescent="0.25">
      <c r="A81" s="126" t="s">
        <v>156</v>
      </c>
      <c r="B81" s="127">
        <f t="shared" si="21"/>
        <v>99732.957609610166</v>
      </c>
      <c r="C81" s="127">
        <f t="shared" si="22"/>
        <v>674.29620293929645</v>
      </c>
      <c r="D81" s="127">
        <f t="shared" si="23"/>
        <v>498.6647880480507</v>
      </c>
      <c r="E81" s="127">
        <f t="shared" si="24"/>
        <v>1172.9609909873473</v>
      </c>
      <c r="F81" s="127">
        <f t="shared" si="25"/>
        <v>99058.661406670872</v>
      </c>
      <c r="G81" s="128">
        <v>70</v>
      </c>
    </row>
    <row r="82" spans="1:7" x14ac:dyDescent="0.25">
      <c r="A82" s="126" t="s">
        <v>157</v>
      </c>
      <c r="B82" s="127">
        <f t="shared" si="21"/>
        <v>99058.661406670872</v>
      </c>
      <c r="C82" s="127">
        <f t="shared" si="22"/>
        <v>677.66768395399299</v>
      </c>
      <c r="D82" s="127">
        <f t="shared" si="23"/>
        <v>495.29330703335432</v>
      </c>
      <c r="E82" s="127">
        <f t="shared" si="24"/>
        <v>1172.9609909873473</v>
      </c>
      <c r="F82" s="127">
        <f t="shared" si="25"/>
        <v>98380.993722716885</v>
      </c>
      <c r="G82" s="128">
        <v>71</v>
      </c>
    </row>
    <row r="83" spans="1:7" x14ac:dyDescent="0.25">
      <c r="A83" s="130" t="s">
        <v>158</v>
      </c>
      <c r="B83" s="131">
        <f t="shared" si="21"/>
        <v>98380.993722716885</v>
      </c>
      <c r="C83" s="131">
        <f t="shared" si="22"/>
        <v>681.05602237376286</v>
      </c>
      <c r="D83" s="131">
        <f t="shared" si="23"/>
        <v>491.90496861358429</v>
      </c>
      <c r="E83" s="131">
        <f t="shared" si="24"/>
        <v>1172.9609909873473</v>
      </c>
      <c r="F83" s="131">
        <f t="shared" si="25"/>
        <v>97699.937700343129</v>
      </c>
      <c r="G83" s="132">
        <v>72</v>
      </c>
    </row>
    <row r="84" spans="1:7" x14ac:dyDescent="0.25">
      <c r="A84" s="9" t="s">
        <v>65</v>
      </c>
      <c r="B84" s="6"/>
      <c r="C84" s="21">
        <f>SUM(C72:C83)</f>
        <v>7952.7093759452337</v>
      </c>
      <c r="D84" s="20">
        <f>SUM(D72:D83)</f>
        <v>6122.8225159029334</v>
      </c>
      <c r="E84" s="6"/>
      <c r="F84" s="6"/>
      <c r="G84" s="10"/>
    </row>
    <row r="85" spans="1:7" x14ac:dyDescent="0.25">
      <c r="A85" s="7"/>
      <c r="B85" s="6"/>
      <c r="C85" s="6"/>
      <c r="D85" s="6"/>
      <c r="E85" s="6"/>
      <c r="F85" s="6"/>
      <c r="G85" s="10"/>
    </row>
    <row r="86" spans="1:7" x14ac:dyDescent="0.25">
      <c r="A86" s="114" t="s">
        <v>159</v>
      </c>
      <c r="B86" s="115">
        <f>F83</f>
        <v>97699.937700343129</v>
      </c>
      <c r="C86" s="115">
        <f t="shared" ref="C86:C97" si="26">PPMT($J$1/12,G86,$J$2*12,-$J$4,)</f>
        <v>684.46130248563179</v>
      </c>
      <c r="D86" s="115">
        <f t="shared" ref="D86:D97" si="27">IPMT($J$1/12,G86,$J$2*12,-$J$4)</f>
        <v>488.49968850171541</v>
      </c>
      <c r="E86" s="115">
        <f t="shared" ref="E86:E97" si="28">$J$6</f>
        <v>1172.9609909873473</v>
      </c>
      <c r="F86" s="115">
        <f t="shared" si="25"/>
        <v>97015.476397857492</v>
      </c>
      <c r="G86" s="116">
        <v>73</v>
      </c>
    </row>
    <row r="87" spans="1:7" x14ac:dyDescent="0.25">
      <c r="A87" s="117" t="s">
        <v>160</v>
      </c>
      <c r="B87" s="118">
        <f t="shared" si="21"/>
        <v>97015.476397857492</v>
      </c>
      <c r="C87" s="118">
        <f t="shared" si="26"/>
        <v>687.8836089980598</v>
      </c>
      <c r="D87" s="118">
        <f t="shared" si="27"/>
        <v>485.07738198928735</v>
      </c>
      <c r="E87" s="118">
        <f t="shared" si="28"/>
        <v>1172.9609909873473</v>
      </c>
      <c r="F87" s="118">
        <f t="shared" si="25"/>
        <v>96327.592788859431</v>
      </c>
      <c r="G87" s="119">
        <v>74</v>
      </c>
    </row>
    <row r="88" spans="1:7" x14ac:dyDescent="0.25">
      <c r="A88" s="117" t="s">
        <v>161</v>
      </c>
      <c r="B88" s="118">
        <f t="shared" si="21"/>
        <v>96327.592788859431</v>
      </c>
      <c r="C88" s="118">
        <f t="shared" si="26"/>
        <v>691.32302704305016</v>
      </c>
      <c r="D88" s="118">
        <f t="shared" si="27"/>
        <v>481.63796394429704</v>
      </c>
      <c r="E88" s="118">
        <f t="shared" si="28"/>
        <v>1172.9609909873473</v>
      </c>
      <c r="F88" s="118">
        <f t="shared" si="25"/>
        <v>95636.26976181638</v>
      </c>
      <c r="G88" s="119">
        <v>75</v>
      </c>
    </row>
    <row r="89" spans="1:7" x14ac:dyDescent="0.25">
      <c r="A89" s="117" t="s">
        <v>162</v>
      </c>
      <c r="B89" s="118">
        <f t="shared" si="21"/>
        <v>95636.26976181638</v>
      </c>
      <c r="C89" s="118">
        <f t="shared" si="26"/>
        <v>694.77964217826536</v>
      </c>
      <c r="D89" s="118">
        <f t="shared" si="27"/>
        <v>478.18134880908178</v>
      </c>
      <c r="E89" s="118">
        <f t="shared" si="28"/>
        <v>1172.9609909873473</v>
      </c>
      <c r="F89" s="118">
        <f t="shared" si="25"/>
        <v>94941.490119638111</v>
      </c>
      <c r="G89" s="119">
        <v>76</v>
      </c>
    </row>
    <row r="90" spans="1:7" x14ac:dyDescent="0.25">
      <c r="A90" s="117" t="s">
        <v>163</v>
      </c>
      <c r="B90" s="118">
        <f t="shared" si="21"/>
        <v>94941.490119638111</v>
      </c>
      <c r="C90" s="118">
        <f t="shared" si="26"/>
        <v>698.25354038915668</v>
      </c>
      <c r="D90" s="118">
        <f t="shared" si="27"/>
        <v>474.70745059819041</v>
      </c>
      <c r="E90" s="118">
        <f t="shared" si="28"/>
        <v>1172.9609909873473</v>
      </c>
      <c r="F90" s="118">
        <f t="shared" si="25"/>
        <v>94243.236579248958</v>
      </c>
      <c r="G90" s="119">
        <v>77</v>
      </c>
    </row>
    <row r="91" spans="1:7" x14ac:dyDescent="0.25">
      <c r="A91" s="117" t="s">
        <v>164</v>
      </c>
      <c r="B91" s="118">
        <f t="shared" si="21"/>
        <v>94243.236579248958</v>
      </c>
      <c r="C91" s="118">
        <f t="shared" si="26"/>
        <v>701.74480809110264</v>
      </c>
      <c r="D91" s="118">
        <f t="shared" si="27"/>
        <v>471.21618289624473</v>
      </c>
      <c r="E91" s="118">
        <f t="shared" si="28"/>
        <v>1172.9609909873473</v>
      </c>
      <c r="F91" s="118">
        <f t="shared" si="25"/>
        <v>93541.49177115786</v>
      </c>
      <c r="G91" s="119">
        <v>78</v>
      </c>
    </row>
    <row r="92" spans="1:7" x14ac:dyDescent="0.25">
      <c r="A92" s="117" t="s">
        <v>165</v>
      </c>
      <c r="B92" s="118">
        <f t="shared" si="21"/>
        <v>93541.49177115786</v>
      </c>
      <c r="C92" s="118">
        <f t="shared" si="26"/>
        <v>705.25353213155813</v>
      </c>
      <c r="D92" s="118">
        <f t="shared" si="27"/>
        <v>467.70745885578918</v>
      </c>
      <c r="E92" s="118">
        <f t="shared" si="28"/>
        <v>1172.9609909873473</v>
      </c>
      <c r="F92" s="118">
        <f t="shared" si="25"/>
        <v>92836.238239026308</v>
      </c>
      <c r="G92" s="119">
        <v>79</v>
      </c>
    </row>
    <row r="93" spans="1:7" x14ac:dyDescent="0.25">
      <c r="A93" s="117" t="s">
        <v>166</v>
      </c>
      <c r="B93" s="118">
        <f t="shared" si="21"/>
        <v>92836.238239026308</v>
      </c>
      <c r="C93" s="118">
        <f t="shared" si="26"/>
        <v>708.77979979221595</v>
      </c>
      <c r="D93" s="118">
        <f t="shared" si="27"/>
        <v>464.18119119513125</v>
      </c>
      <c r="E93" s="118">
        <f t="shared" si="28"/>
        <v>1172.9609909873473</v>
      </c>
      <c r="F93" s="118">
        <f t="shared" si="25"/>
        <v>92127.458439234091</v>
      </c>
      <c r="G93" s="119">
        <v>80</v>
      </c>
    </row>
    <row r="94" spans="1:7" x14ac:dyDescent="0.25">
      <c r="A94" s="117" t="s">
        <v>167</v>
      </c>
      <c r="B94" s="118">
        <f t="shared" si="21"/>
        <v>92127.458439234091</v>
      </c>
      <c r="C94" s="118">
        <f t="shared" si="26"/>
        <v>712.32369879117687</v>
      </c>
      <c r="D94" s="118">
        <f t="shared" si="27"/>
        <v>460.63729219617022</v>
      </c>
      <c r="E94" s="118">
        <f t="shared" si="28"/>
        <v>1172.9609909873473</v>
      </c>
      <c r="F94" s="118">
        <f t="shared" si="25"/>
        <v>91415.134740442911</v>
      </c>
      <c r="G94" s="119">
        <v>81</v>
      </c>
    </row>
    <row r="95" spans="1:7" x14ac:dyDescent="0.25">
      <c r="A95" s="117" t="s">
        <v>168</v>
      </c>
      <c r="B95" s="118">
        <f t="shared" si="21"/>
        <v>91415.134740442911</v>
      </c>
      <c r="C95" s="118">
        <f t="shared" si="26"/>
        <v>715.88531728513294</v>
      </c>
      <c r="D95" s="118">
        <f t="shared" si="27"/>
        <v>457.07567370221432</v>
      </c>
      <c r="E95" s="118">
        <f t="shared" si="28"/>
        <v>1172.9609909873473</v>
      </c>
      <c r="F95" s="118">
        <f t="shared" si="25"/>
        <v>90699.249423157773</v>
      </c>
      <c r="G95" s="119">
        <v>82</v>
      </c>
    </row>
    <row r="96" spans="1:7" x14ac:dyDescent="0.25">
      <c r="A96" s="117" t="s">
        <v>169</v>
      </c>
      <c r="B96" s="118">
        <f t="shared" si="21"/>
        <v>90699.249423157773</v>
      </c>
      <c r="C96" s="118">
        <f t="shared" si="26"/>
        <v>719.46474387155865</v>
      </c>
      <c r="D96" s="118">
        <f t="shared" si="27"/>
        <v>453.49624711578866</v>
      </c>
      <c r="E96" s="118">
        <f t="shared" si="28"/>
        <v>1172.9609909873473</v>
      </c>
      <c r="F96" s="118">
        <f t="shared" si="25"/>
        <v>89979.784679286211</v>
      </c>
      <c r="G96" s="119">
        <v>83</v>
      </c>
    </row>
    <row r="97" spans="1:7" x14ac:dyDescent="0.25">
      <c r="A97" s="120" t="s">
        <v>170</v>
      </c>
      <c r="B97" s="121">
        <f t="shared" si="21"/>
        <v>89979.784679286211</v>
      </c>
      <c r="C97" s="121">
        <f t="shared" si="26"/>
        <v>723.06206759091629</v>
      </c>
      <c r="D97" s="121">
        <f t="shared" si="27"/>
        <v>449.89892339643092</v>
      </c>
      <c r="E97" s="121">
        <f t="shared" si="28"/>
        <v>1172.9609909873473</v>
      </c>
      <c r="F97" s="121">
        <f t="shared" si="25"/>
        <v>89256.722611695295</v>
      </c>
      <c r="G97" s="122">
        <v>84</v>
      </c>
    </row>
    <row r="98" spans="1:7" x14ac:dyDescent="0.25">
      <c r="A98" s="92" t="s">
        <v>65</v>
      </c>
      <c r="B98" s="90"/>
      <c r="C98" s="94">
        <f>SUM(C86:C97)</f>
        <v>8443.2150886478248</v>
      </c>
      <c r="D98" s="93">
        <f>SUM(D86:D97)</f>
        <v>5632.3168032003414</v>
      </c>
      <c r="E98" s="90"/>
      <c r="F98" s="90"/>
      <c r="G98" s="91"/>
    </row>
    <row r="99" spans="1:7" x14ac:dyDescent="0.25">
      <c r="A99" s="7"/>
      <c r="B99" s="6"/>
      <c r="C99" s="6"/>
      <c r="D99" s="6"/>
      <c r="E99" s="6"/>
      <c r="F99" s="6"/>
      <c r="G99" s="10"/>
    </row>
    <row r="100" spans="1:7" x14ac:dyDescent="0.25">
      <c r="A100" s="123" t="s">
        <v>171</v>
      </c>
      <c r="B100" s="124">
        <f>F97</f>
        <v>89256.722611695295</v>
      </c>
      <c r="C100" s="124">
        <f t="shared" ref="C100:C111" si="29">PPMT($J$1/12,G100,$J$2*12,-$J$4,)</f>
        <v>726.6773779288709</v>
      </c>
      <c r="D100" s="124">
        <f t="shared" ref="D100:D111" si="30">IPMT($J$1/12,G100,$J$2*12,-$J$4)</f>
        <v>446.28361305847636</v>
      </c>
      <c r="E100" s="124">
        <f t="shared" ref="E100:E111" si="31">$J$6</f>
        <v>1172.9609909873473</v>
      </c>
      <c r="F100" s="124">
        <f t="shared" si="25"/>
        <v>88530.045233766417</v>
      </c>
      <c r="G100" s="133">
        <v>85</v>
      </c>
    </row>
    <row r="101" spans="1:7" x14ac:dyDescent="0.25">
      <c r="A101" s="126" t="s">
        <v>172</v>
      </c>
      <c r="B101" s="127">
        <f t="shared" si="21"/>
        <v>88530.045233766417</v>
      </c>
      <c r="C101" s="127">
        <f t="shared" si="29"/>
        <v>730.31076481851528</v>
      </c>
      <c r="D101" s="127">
        <f t="shared" si="30"/>
        <v>442.65022616883203</v>
      </c>
      <c r="E101" s="127">
        <f t="shared" si="31"/>
        <v>1172.9609909873473</v>
      </c>
      <c r="F101" s="127">
        <f t="shared" si="25"/>
        <v>87799.734468947907</v>
      </c>
      <c r="G101" s="128">
        <v>86</v>
      </c>
    </row>
    <row r="102" spans="1:7" x14ac:dyDescent="0.25">
      <c r="A102" s="126" t="s">
        <v>173</v>
      </c>
      <c r="B102" s="127">
        <f t="shared" si="21"/>
        <v>87799.734468947907</v>
      </c>
      <c r="C102" s="127">
        <f t="shared" si="29"/>
        <v>733.9623186426079</v>
      </c>
      <c r="D102" s="127">
        <f t="shared" si="30"/>
        <v>438.99867234473942</v>
      </c>
      <c r="E102" s="127">
        <f t="shared" si="31"/>
        <v>1172.9609909873473</v>
      </c>
      <c r="F102" s="127">
        <f t="shared" si="25"/>
        <v>87065.772150305304</v>
      </c>
      <c r="G102" s="128">
        <v>87</v>
      </c>
    </row>
    <row r="103" spans="1:7" x14ac:dyDescent="0.25">
      <c r="A103" s="126" t="s">
        <v>174</v>
      </c>
      <c r="B103" s="127">
        <f t="shared" si="21"/>
        <v>87065.772150305304</v>
      </c>
      <c r="C103" s="127">
        <f t="shared" si="29"/>
        <v>737.6321302358208</v>
      </c>
      <c r="D103" s="127">
        <f t="shared" si="30"/>
        <v>435.32886075152629</v>
      </c>
      <c r="E103" s="127">
        <f t="shared" si="31"/>
        <v>1172.9609909873473</v>
      </c>
      <c r="F103" s="127">
        <f t="shared" si="25"/>
        <v>86328.140020069477</v>
      </c>
      <c r="G103" s="128">
        <v>88</v>
      </c>
    </row>
    <row r="104" spans="1:7" x14ac:dyDescent="0.25">
      <c r="A104" s="126" t="s">
        <v>175</v>
      </c>
      <c r="B104" s="127">
        <f t="shared" si="21"/>
        <v>86328.140020069477</v>
      </c>
      <c r="C104" s="127">
        <f t="shared" si="29"/>
        <v>741.32029088700006</v>
      </c>
      <c r="D104" s="127">
        <f t="shared" si="30"/>
        <v>431.64070010034726</v>
      </c>
      <c r="E104" s="127">
        <f t="shared" si="31"/>
        <v>1172.9609909873473</v>
      </c>
      <c r="F104" s="127">
        <f t="shared" si="25"/>
        <v>85586.819729182476</v>
      </c>
      <c r="G104" s="128">
        <v>89</v>
      </c>
    </row>
    <row r="105" spans="1:7" x14ac:dyDescent="0.25">
      <c r="A105" s="126" t="s">
        <v>176</v>
      </c>
      <c r="B105" s="127">
        <f t="shared" si="21"/>
        <v>85586.819729182476</v>
      </c>
      <c r="C105" s="127">
        <f t="shared" si="29"/>
        <v>745.02689234143497</v>
      </c>
      <c r="D105" s="127">
        <f t="shared" si="30"/>
        <v>427.93409864591217</v>
      </c>
      <c r="E105" s="127">
        <f t="shared" si="31"/>
        <v>1172.9609909873473</v>
      </c>
      <c r="F105" s="127">
        <f t="shared" si="25"/>
        <v>84841.792836841036</v>
      </c>
      <c r="G105" s="128">
        <v>90</v>
      </c>
    </row>
    <row r="106" spans="1:7" x14ac:dyDescent="0.25">
      <c r="A106" s="126" t="s">
        <v>177</v>
      </c>
      <c r="B106" s="127">
        <f t="shared" si="21"/>
        <v>84841.792836841036</v>
      </c>
      <c r="C106" s="127">
        <f t="shared" si="29"/>
        <v>748.75202680314203</v>
      </c>
      <c r="D106" s="127">
        <f t="shared" si="30"/>
        <v>424.20896418420506</v>
      </c>
      <c r="E106" s="127">
        <f t="shared" si="31"/>
        <v>1172.9609909873473</v>
      </c>
      <c r="F106" s="127">
        <f t="shared" si="25"/>
        <v>84093.040810037899</v>
      </c>
      <c r="G106" s="128">
        <v>91</v>
      </c>
    </row>
    <row r="107" spans="1:7" x14ac:dyDescent="0.25">
      <c r="A107" s="126" t="s">
        <v>178</v>
      </c>
      <c r="B107" s="127">
        <f t="shared" si="21"/>
        <v>84093.040810037899</v>
      </c>
      <c r="C107" s="127">
        <f t="shared" si="29"/>
        <v>752.49578693715785</v>
      </c>
      <c r="D107" s="127">
        <f t="shared" si="30"/>
        <v>420.46520405018936</v>
      </c>
      <c r="E107" s="127">
        <f t="shared" si="31"/>
        <v>1172.9609909873473</v>
      </c>
      <c r="F107" s="127">
        <f t="shared" si="25"/>
        <v>83340.545023100742</v>
      </c>
      <c r="G107" s="128">
        <v>92</v>
      </c>
    </row>
    <row r="108" spans="1:7" x14ac:dyDescent="0.25">
      <c r="A108" s="126" t="s">
        <v>179</v>
      </c>
      <c r="B108" s="127">
        <f t="shared" si="21"/>
        <v>83340.545023100742</v>
      </c>
      <c r="C108" s="127">
        <f t="shared" si="29"/>
        <v>756.25826587184361</v>
      </c>
      <c r="D108" s="127">
        <f t="shared" si="30"/>
        <v>416.7027251155036</v>
      </c>
      <c r="E108" s="127">
        <f t="shared" si="31"/>
        <v>1172.9609909873473</v>
      </c>
      <c r="F108" s="127">
        <f t="shared" si="25"/>
        <v>82584.286757228896</v>
      </c>
      <c r="G108" s="128">
        <v>93</v>
      </c>
    </row>
    <row r="109" spans="1:7" x14ac:dyDescent="0.25">
      <c r="A109" s="126" t="s">
        <v>180</v>
      </c>
      <c r="B109" s="127">
        <f t="shared" si="21"/>
        <v>82584.286757228896</v>
      </c>
      <c r="C109" s="127">
        <f t="shared" si="29"/>
        <v>760.03955720120291</v>
      </c>
      <c r="D109" s="127">
        <f t="shared" si="30"/>
        <v>412.92143378614435</v>
      </c>
      <c r="E109" s="127">
        <f t="shared" si="31"/>
        <v>1172.9609909873473</v>
      </c>
      <c r="F109" s="127">
        <f t="shared" si="25"/>
        <v>81824.24720002769</v>
      </c>
      <c r="G109" s="128">
        <v>94</v>
      </c>
    </row>
    <row r="110" spans="1:7" x14ac:dyDescent="0.25">
      <c r="A110" s="126" t="s">
        <v>181</v>
      </c>
      <c r="B110" s="127">
        <f t="shared" si="21"/>
        <v>81824.24720002769</v>
      </c>
      <c r="C110" s="127">
        <f t="shared" si="29"/>
        <v>763.83975498720883</v>
      </c>
      <c r="D110" s="127">
        <f t="shared" si="30"/>
        <v>409.12123600013831</v>
      </c>
      <c r="E110" s="127">
        <f t="shared" si="31"/>
        <v>1172.9609909873473</v>
      </c>
      <c r="F110" s="127">
        <f t="shared" si="25"/>
        <v>81060.407445040488</v>
      </c>
      <c r="G110" s="128">
        <v>95</v>
      </c>
    </row>
    <row r="111" spans="1:7" x14ac:dyDescent="0.25">
      <c r="A111" s="130" t="s">
        <v>182</v>
      </c>
      <c r="B111" s="131">
        <f t="shared" si="21"/>
        <v>81060.407445040488</v>
      </c>
      <c r="C111" s="131">
        <f t="shared" si="29"/>
        <v>767.65895376214496</v>
      </c>
      <c r="D111" s="131">
        <f t="shared" si="30"/>
        <v>405.30203722520224</v>
      </c>
      <c r="E111" s="131">
        <f t="shared" si="31"/>
        <v>1172.9609909873473</v>
      </c>
      <c r="F111" s="131">
        <f t="shared" si="25"/>
        <v>80292.74849127834</v>
      </c>
      <c r="G111" s="132">
        <v>96</v>
      </c>
    </row>
    <row r="112" spans="1:7" x14ac:dyDescent="0.25">
      <c r="A112" s="9" t="s">
        <v>65</v>
      </c>
      <c r="B112" s="6"/>
      <c r="C112" s="21">
        <f>SUM(C100:C111)</f>
        <v>8963.9741204169513</v>
      </c>
      <c r="D112" s="20">
        <f>SUM(D100:D111)</f>
        <v>5111.5577714312158</v>
      </c>
      <c r="E112" s="6"/>
      <c r="F112" s="6"/>
      <c r="G112" s="10"/>
    </row>
    <row r="113" spans="1:7" x14ac:dyDescent="0.25">
      <c r="A113" s="7"/>
      <c r="B113" s="6"/>
      <c r="C113" s="6"/>
      <c r="D113" s="6"/>
      <c r="E113" s="6"/>
      <c r="F113" s="6"/>
      <c r="G113" s="10"/>
    </row>
    <row r="114" spans="1:7" x14ac:dyDescent="0.25">
      <c r="A114" s="114" t="s">
        <v>183</v>
      </c>
      <c r="B114" s="115">
        <f>F111</f>
        <v>80292.74849127834</v>
      </c>
      <c r="C114" s="115">
        <f t="shared" ref="C114:C125" si="32">PPMT($J$1/12,G114,$J$2*12,-$J$4,)</f>
        <v>771.49724853095552</v>
      </c>
      <c r="D114" s="115">
        <f t="shared" ref="D114:D125" si="33">IPMT($J$1/12,G114,$J$2*12,-$J$4)</f>
        <v>401.46374245639163</v>
      </c>
      <c r="E114" s="115">
        <f t="shared" ref="E114:E125" si="34">$J$6</f>
        <v>1172.9609909873473</v>
      </c>
      <c r="F114" s="115">
        <f t="shared" si="25"/>
        <v>79521.251242747385</v>
      </c>
      <c r="G114" s="116">
        <v>97</v>
      </c>
    </row>
    <row r="115" spans="1:7" x14ac:dyDescent="0.25">
      <c r="A115" s="117" t="s">
        <v>184</v>
      </c>
      <c r="B115" s="118">
        <f t="shared" si="21"/>
        <v>79521.251242747385</v>
      </c>
      <c r="C115" s="118">
        <f t="shared" si="32"/>
        <v>775.3547347736104</v>
      </c>
      <c r="D115" s="118">
        <f t="shared" si="33"/>
        <v>397.6062562137368</v>
      </c>
      <c r="E115" s="118">
        <f t="shared" si="34"/>
        <v>1172.9609909873473</v>
      </c>
      <c r="F115" s="118">
        <f t="shared" si="25"/>
        <v>78745.896507973768</v>
      </c>
      <c r="G115" s="119">
        <v>98</v>
      </c>
    </row>
    <row r="116" spans="1:7" x14ac:dyDescent="0.25">
      <c r="A116" s="117" t="s">
        <v>185</v>
      </c>
      <c r="B116" s="118">
        <f t="shared" si="21"/>
        <v>78745.896507973768</v>
      </c>
      <c r="C116" s="118">
        <f t="shared" si="32"/>
        <v>779.2315084474784</v>
      </c>
      <c r="D116" s="118">
        <f t="shared" si="33"/>
        <v>393.72948253986868</v>
      </c>
      <c r="E116" s="118">
        <f t="shared" si="34"/>
        <v>1172.9609909873473</v>
      </c>
      <c r="F116" s="118">
        <f t="shared" si="25"/>
        <v>77966.664999526285</v>
      </c>
      <c r="G116" s="119">
        <v>99</v>
      </c>
    </row>
    <row r="117" spans="1:7" x14ac:dyDescent="0.25">
      <c r="A117" s="117" t="s">
        <v>186</v>
      </c>
      <c r="B117" s="118">
        <f t="shared" si="21"/>
        <v>77966.664999526285</v>
      </c>
      <c r="C117" s="118">
        <f t="shared" si="32"/>
        <v>783.12766598971587</v>
      </c>
      <c r="D117" s="118">
        <f t="shared" si="33"/>
        <v>389.83332499763134</v>
      </c>
      <c r="E117" s="118">
        <f t="shared" si="34"/>
        <v>1172.9609909873473</v>
      </c>
      <c r="F117" s="118">
        <f t="shared" si="25"/>
        <v>77183.537333536573</v>
      </c>
      <c r="G117" s="119">
        <v>100</v>
      </c>
    </row>
    <row r="118" spans="1:7" x14ac:dyDescent="0.25">
      <c r="A118" s="117" t="s">
        <v>187</v>
      </c>
      <c r="B118" s="118">
        <f t="shared" si="21"/>
        <v>77183.537333536573</v>
      </c>
      <c r="C118" s="118">
        <f t="shared" si="32"/>
        <v>787.04330431966446</v>
      </c>
      <c r="D118" s="118">
        <f t="shared" si="33"/>
        <v>385.91768666768274</v>
      </c>
      <c r="E118" s="118">
        <f t="shared" si="34"/>
        <v>1172.9609909873473</v>
      </c>
      <c r="F118" s="118">
        <f t="shared" si="25"/>
        <v>76396.494029216905</v>
      </c>
      <c r="G118" s="119">
        <v>101</v>
      </c>
    </row>
    <row r="119" spans="1:7" x14ac:dyDescent="0.25">
      <c r="A119" s="117" t="s">
        <v>188</v>
      </c>
      <c r="B119" s="118">
        <f t="shared" si="21"/>
        <v>76396.494029216905</v>
      </c>
      <c r="C119" s="118">
        <f t="shared" si="32"/>
        <v>790.97852084126282</v>
      </c>
      <c r="D119" s="118">
        <f t="shared" si="33"/>
        <v>381.98247014608444</v>
      </c>
      <c r="E119" s="118">
        <f t="shared" si="34"/>
        <v>1172.9609909873473</v>
      </c>
      <c r="F119" s="118">
        <f t="shared" si="25"/>
        <v>75605.51550837564</v>
      </c>
      <c r="G119" s="119">
        <v>102</v>
      </c>
    </row>
    <row r="120" spans="1:7" x14ac:dyDescent="0.25">
      <c r="A120" s="117" t="s">
        <v>189</v>
      </c>
      <c r="B120" s="118">
        <f t="shared" si="21"/>
        <v>75605.51550837564</v>
      </c>
      <c r="C120" s="118">
        <f t="shared" si="32"/>
        <v>794.93341344546911</v>
      </c>
      <c r="D120" s="118">
        <f t="shared" si="33"/>
        <v>378.0275775418782</v>
      </c>
      <c r="E120" s="118">
        <f t="shared" si="34"/>
        <v>1172.9609909873473</v>
      </c>
      <c r="F120" s="118">
        <f t="shared" si="25"/>
        <v>74810.582094930171</v>
      </c>
      <c r="G120" s="119">
        <v>103</v>
      </c>
    </row>
    <row r="121" spans="1:7" x14ac:dyDescent="0.25">
      <c r="A121" s="117" t="s">
        <v>190</v>
      </c>
      <c r="B121" s="118">
        <f t="shared" si="21"/>
        <v>74810.582094930171</v>
      </c>
      <c r="C121" s="118">
        <f t="shared" si="32"/>
        <v>798.9080805126963</v>
      </c>
      <c r="D121" s="118">
        <f t="shared" si="33"/>
        <v>374.05291047465079</v>
      </c>
      <c r="E121" s="118">
        <f t="shared" si="34"/>
        <v>1172.9609909873473</v>
      </c>
      <c r="F121" s="118">
        <f t="shared" si="25"/>
        <v>74011.674014417469</v>
      </c>
      <c r="G121" s="119">
        <v>104</v>
      </c>
    </row>
    <row r="122" spans="1:7" x14ac:dyDescent="0.25">
      <c r="A122" s="117" t="s">
        <v>191</v>
      </c>
      <c r="B122" s="118">
        <f t="shared" si="21"/>
        <v>74011.674014417469</v>
      </c>
      <c r="C122" s="118">
        <f t="shared" si="32"/>
        <v>802.90262091525994</v>
      </c>
      <c r="D122" s="118">
        <f t="shared" si="33"/>
        <v>370.05837007208726</v>
      </c>
      <c r="E122" s="118">
        <f t="shared" si="34"/>
        <v>1172.9609909873473</v>
      </c>
      <c r="F122" s="118">
        <f t="shared" si="25"/>
        <v>73208.771393502204</v>
      </c>
      <c r="G122" s="119">
        <v>105</v>
      </c>
    </row>
    <row r="123" spans="1:7" x14ac:dyDescent="0.25">
      <c r="A123" s="117" t="s">
        <v>192</v>
      </c>
      <c r="B123" s="118">
        <f t="shared" si="21"/>
        <v>73208.771393502204</v>
      </c>
      <c r="C123" s="118">
        <f t="shared" si="32"/>
        <v>806.91713401983623</v>
      </c>
      <c r="D123" s="118">
        <f t="shared" si="33"/>
        <v>366.04385696751103</v>
      </c>
      <c r="E123" s="118">
        <f t="shared" si="34"/>
        <v>1172.9609909873473</v>
      </c>
      <c r="F123" s="118">
        <f t="shared" si="25"/>
        <v>72401.854259482367</v>
      </c>
      <c r="G123" s="119">
        <v>106</v>
      </c>
    </row>
    <row r="124" spans="1:7" x14ac:dyDescent="0.25">
      <c r="A124" s="117" t="s">
        <v>193</v>
      </c>
      <c r="B124" s="118">
        <f t="shared" si="21"/>
        <v>72401.854259482367</v>
      </c>
      <c r="C124" s="118">
        <f t="shared" si="32"/>
        <v>810.95171968993543</v>
      </c>
      <c r="D124" s="118">
        <f t="shared" si="33"/>
        <v>362.00927129741177</v>
      </c>
      <c r="E124" s="118">
        <f t="shared" si="34"/>
        <v>1172.9609909873473</v>
      </c>
      <c r="F124" s="118">
        <f t="shared" si="25"/>
        <v>71590.902539792427</v>
      </c>
      <c r="G124" s="119">
        <v>107</v>
      </c>
    </row>
    <row r="125" spans="1:7" x14ac:dyDescent="0.25">
      <c r="A125" s="120" t="s">
        <v>194</v>
      </c>
      <c r="B125" s="121">
        <f t="shared" si="21"/>
        <v>71590.902539792427</v>
      </c>
      <c r="C125" s="121">
        <f t="shared" si="32"/>
        <v>815.0064782883851</v>
      </c>
      <c r="D125" s="121">
        <f t="shared" si="33"/>
        <v>357.95451269896205</v>
      </c>
      <c r="E125" s="121">
        <f t="shared" si="34"/>
        <v>1172.9609909873473</v>
      </c>
      <c r="F125" s="121">
        <f t="shared" si="25"/>
        <v>70775.896061504041</v>
      </c>
      <c r="G125" s="122">
        <v>108</v>
      </c>
    </row>
    <row r="126" spans="1:7" x14ac:dyDescent="0.25">
      <c r="A126" s="92" t="s">
        <v>65</v>
      </c>
      <c r="B126" s="90"/>
      <c r="C126" s="94">
        <f>SUM(C114:C125)</f>
        <v>9516.8524297742697</v>
      </c>
      <c r="D126" s="93">
        <f>SUM(D114:D125)</f>
        <v>4558.6794620738965</v>
      </c>
      <c r="E126" s="90"/>
      <c r="F126" s="90"/>
      <c r="G126" s="91"/>
    </row>
    <row r="127" spans="1:7" x14ac:dyDescent="0.25">
      <c r="A127" s="7"/>
      <c r="B127" s="6"/>
      <c r="C127" s="6"/>
      <c r="D127" s="6"/>
      <c r="E127" s="6"/>
      <c r="F127" s="6"/>
      <c r="G127" s="10"/>
    </row>
    <row r="128" spans="1:7" x14ac:dyDescent="0.25">
      <c r="A128" s="123" t="s">
        <v>195</v>
      </c>
      <c r="B128" s="124">
        <f>F125</f>
        <v>70775.896061504041</v>
      </c>
      <c r="C128" s="124">
        <f t="shared" ref="C128:C139" si="35">PPMT($J$1/12,G128,$J$2*12,-$J$4,)</f>
        <v>819.08151067982692</v>
      </c>
      <c r="D128" s="124">
        <f t="shared" ref="D128:D139" si="36">IPMT($J$1/12,G128,$J$2*12,-$J$4)</f>
        <v>353.87948030752023</v>
      </c>
      <c r="E128" s="124">
        <f t="shared" ref="E128:E139" si="37">$J$6</f>
        <v>1172.9609909873473</v>
      </c>
      <c r="F128" s="124">
        <f t="shared" si="25"/>
        <v>69956.814550824216</v>
      </c>
      <c r="G128" s="133">
        <v>109</v>
      </c>
    </row>
    <row r="129" spans="1:7" x14ac:dyDescent="0.25">
      <c r="A129" s="126" t="s">
        <v>196</v>
      </c>
      <c r="B129" s="127">
        <f t="shared" ref="B129:B201" si="38">F128</f>
        <v>69956.814550824216</v>
      </c>
      <c r="C129" s="127">
        <f t="shared" si="35"/>
        <v>823.17691823322616</v>
      </c>
      <c r="D129" s="127">
        <f t="shared" si="36"/>
        <v>349.7840727541211</v>
      </c>
      <c r="E129" s="127">
        <f t="shared" si="37"/>
        <v>1172.9609909873473</v>
      </c>
      <c r="F129" s="127">
        <f t="shared" si="25"/>
        <v>69133.637632590995</v>
      </c>
      <c r="G129" s="128">
        <v>110</v>
      </c>
    </row>
    <row r="130" spans="1:7" x14ac:dyDescent="0.25">
      <c r="A130" s="126" t="s">
        <v>197</v>
      </c>
      <c r="B130" s="127">
        <f t="shared" si="38"/>
        <v>69133.637632590995</v>
      </c>
      <c r="C130" s="127">
        <f t="shared" si="35"/>
        <v>827.29280282439231</v>
      </c>
      <c r="D130" s="127">
        <f t="shared" si="36"/>
        <v>345.66818816295489</v>
      </c>
      <c r="E130" s="127">
        <f t="shared" si="37"/>
        <v>1172.9609909873473</v>
      </c>
      <c r="F130" s="127">
        <f t="shared" si="25"/>
        <v>68306.344829766604</v>
      </c>
      <c r="G130" s="128">
        <v>111</v>
      </c>
    </row>
    <row r="131" spans="1:7" x14ac:dyDescent="0.25">
      <c r="A131" s="126" t="s">
        <v>198</v>
      </c>
      <c r="B131" s="127">
        <f t="shared" si="38"/>
        <v>68306.344829766604</v>
      </c>
      <c r="C131" s="127">
        <f t="shared" si="35"/>
        <v>831.42926683851431</v>
      </c>
      <c r="D131" s="127">
        <f t="shared" si="36"/>
        <v>341.53172414883295</v>
      </c>
      <c r="E131" s="127">
        <f t="shared" si="37"/>
        <v>1172.9609909873473</v>
      </c>
      <c r="F131" s="127">
        <f t="shared" si="25"/>
        <v>67474.915562928087</v>
      </c>
      <c r="G131" s="128">
        <v>112</v>
      </c>
    </row>
    <row r="132" spans="1:7" x14ac:dyDescent="0.25">
      <c r="A132" s="126" t="s">
        <v>199</v>
      </c>
      <c r="B132" s="127">
        <f t="shared" si="38"/>
        <v>67474.915562928087</v>
      </c>
      <c r="C132" s="127">
        <f t="shared" si="35"/>
        <v>835.58641317270678</v>
      </c>
      <c r="D132" s="127">
        <f t="shared" si="36"/>
        <v>337.37457781464042</v>
      </c>
      <c r="E132" s="127">
        <f t="shared" si="37"/>
        <v>1172.9609909873473</v>
      </c>
      <c r="F132" s="127">
        <f t="shared" si="25"/>
        <v>66639.329149755373</v>
      </c>
      <c r="G132" s="128">
        <v>113</v>
      </c>
    </row>
    <row r="133" spans="1:7" x14ac:dyDescent="0.25">
      <c r="A133" s="126" t="s">
        <v>200</v>
      </c>
      <c r="B133" s="127">
        <f t="shared" si="38"/>
        <v>66639.329149755373</v>
      </c>
      <c r="C133" s="127">
        <f t="shared" si="35"/>
        <v>839.76434523857029</v>
      </c>
      <c r="D133" s="127">
        <f t="shared" si="36"/>
        <v>333.1966457487768</v>
      </c>
      <c r="E133" s="127">
        <f t="shared" si="37"/>
        <v>1172.9609909873473</v>
      </c>
      <c r="F133" s="127">
        <f t="shared" si="25"/>
        <v>65799.564804516805</v>
      </c>
      <c r="G133" s="128">
        <v>114</v>
      </c>
    </row>
    <row r="134" spans="1:7" x14ac:dyDescent="0.25">
      <c r="A134" s="126" t="s">
        <v>201</v>
      </c>
      <c r="B134" s="127">
        <f t="shared" si="38"/>
        <v>65799.564804516805</v>
      </c>
      <c r="C134" s="127">
        <f t="shared" si="35"/>
        <v>843.96316696476322</v>
      </c>
      <c r="D134" s="127">
        <f t="shared" si="36"/>
        <v>328.99782402258404</v>
      </c>
      <c r="E134" s="127">
        <f t="shared" si="37"/>
        <v>1172.9609909873473</v>
      </c>
      <c r="F134" s="127">
        <f t="shared" si="25"/>
        <v>64955.601637552041</v>
      </c>
      <c r="G134" s="128">
        <v>115</v>
      </c>
    </row>
    <row r="135" spans="1:7" x14ac:dyDescent="0.25">
      <c r="A135" s="126" t="s">
        <v>202</v>
      </c>
      <c r="B135" s="127">
        <f t="shared" si="38"/>
        <v>64955.601637552041</v>
      </c>
      <c r="C135" s="127">
        <f t="shared" si="35"/>
        <v>848.18298279958708</v>
      </c>
      <c r="D135" s="127">
        <f t="shared" si="36"/>
        <v>324.77800818776024</v>
      </c>
      <c r="E135" s="127">
        <f t="shared" si="37"/>
        <v>1172.9609909873473</v>
      </c>
      <c r="F135" s="127">
        <f t="shared" si="25"/>
        <v>64107.418654752451</v>
      </c>
      <c r="G135" s="128">
        <v>116</v>
      </c>
    </row>
    <row r="136" spans="1:7" x14ac:dyDescent="0.25">
      <c r="A136" s="126" t="s">
        <v>203</v>
      </c>
      <c r="B136" s="127">
        <f t="shared" si="38"/>
        <v>64107.418654752451</v>
      </c>
      <c r="C136" s="127">
        <f t="shared" si="35"/>
        <v>852.42389771358489</v>
      </c>
      <c r="D136" s="127">
        <f t="shared" si="36"/>
        <v>320.53709327376225</v>
      </c>
      <c r="E136" s="127">
        <f t="shared" si="37"/>
        <v>1172.9609909873473</v>
      </c>
      <c r="F136" s="127">
        <f t="shared" si="25"/>
        <v>63254.994757038869</v>
      </c>
      <c r="G136" s="128">
        <v>117</v>
      </c>
    </row>
    <row r="137" spans="1:7" x14ac:dyDescent="0.25">
      <c r="A137" s="126" t="s">
        <v>204</v>
      </c>
      <c r="B137" s="127">
        <f t="shared" si="38"/>
        <v>63254.994757038869</v>
      </c>
      <c r="C137" s="127">
        <f t="shared" si="35"/>
        <v>856.68601720215293</v>
      </c>
      <c r="D137" s="127">
        <f t="shared" si="36"/>
        <v>316.27497378519433</v>
      </c>
      <c r="E137" s="127">
        <f t="shared" si="37"/>
        <v>1172.9609909873473</v>
      </c>
      <c r="F137" s="127">
        <f t="shared" si="25"/>
        <v>62398.308739836713</v>
      </c>
      <c r="G137" s="128">
        <v>118</v>
      </c>
    </row>
    <row r="138" spans="1:7" x14ac:dyDescent="0.25">
      <c r="A138" s="126" t="s">
        <v>205</v>
      </c>
      <c r="B138" s="127">
        <f t="shared" si="38"/>
        <v>62398.308739836713</v>
      </c>
      <c r="C138" s="127">
        <f t="shared" si="35"/>
        <v>860.96944728816368</v>
      </c>
      <c r="D138" s="127">
        <f t="shared" si="36"/>
        <v>311.99154369918352</v>
      </c>
      <c r="E138" s="127">
        <f t="shared" si="37"/>
        <v>1172.9609909873473</v>
      </c>
      <c r="F138" s="127">
        <f t="shared" si="25"/>
        <v>61537.339292548553</v>
      </c>
      <c r="G138" s="128">
        <v>119</v>
      </c>
    </row>
    <row r="139" spans="1:7" x14ac:dyDescent="0.25">
      <c r="A139" s="130" t="s">
        <v>206</v>
      </c>
      <c r="B139" s="131">
        <f t="shared" si="38"/>
        <v>61537.339292548553</v>
      </c>
      <c r="C139" s="131">
        <f t="shared" si="35"/>
        <v>865.27429452460433</v>
      </c>
      <c r="D139" s="131">
        <f t="shared" si="36"/>
        <v>307.68669646274282</v>
      </c>
      <c r="E139" s="131">
        <f t="shared" si="37"/>
        <v>1172.9609909873473</v>
      </c>
      <c r="F139" s="131">
        <f t="shared" si="25"/>
        <v>60672.064998023947</v>
      </c>
      <c r="G139" s="132">
        <v>120</v>
      </c>
    </row>
    <row r="140" spans="1:7" x14ac:dyDescent="0.25">
      <c r="A140" s="9" t="s">
        <v>65</v>
      </c>
      <c r="B140" s="6"/>
      <c r="C140" s="21">
        <f>SUM(C128:C139)</f>
        <v>10103.831063480093</v>
      </c>
      <c r="D140" s="20">
        <f>SUM(D128:D139)</f>
        <v>3971.7008283680743</v>
      </c>
      <c r="E140" s="6"/>
      <c r="F140" s="6"/>
      <c r="G140" s="10"/>
    </row>
    <row r="141" spans="1:7" x14ac:dyDescent="0.25">
      <c r="A141" s="7"/>
      <c r="B141" s="6"/>
      <c r="C141" s="6"/>
      <c r="D141" s="6"/>
      <c r="E141" s="6"/>
      <c r="F141" s="6"/>
      <c r="G141" s="10"/>
    </row>
    <row r="142" spans="1:7" x14ac:dyDescent="0.25">
      <c r="A142" s="114" t="s">
        <v>207</v>
      </c>
      <c r="B142" s="115">
        <f>F139</f>
        <v>60672.064998023947</v>
      </c>
      <c r="C142" s="115">
        <f>PPMT($J$1/12,G142,$J$2*12,-$J$4,)</f>
        <v>869.60066599722745</v>
      </c>
      <c r="D142" s="115">
        <f>IPMT($J$1/12,G142,$J$2*12,-$J$4)</f>
        <v>303.36032499011975</v>
      </c>
      <c r="E142" s="115">
        <f t="shared" ref="E142:E153" si="39">$J$6</f>
        <v>1172.9609909873473</v>
      </c>
      <c r="F142" s="115">
        <f t="shared" si="25"/>
        <v>59802.464332026721</v>
      </c>
      <c r="G142" s="116">
        <v>121</v>
      </c>
    </row>
    <row r="143" spans="1:7" x14ac:dyDescent="0.25">
      <c r="A143" s="117" t="s">
        <v>208</v>
      </c>
      <c r="B143" s="118">
        <f t="shared" si="38"/>
        <v>59802.464332026721</v>
      </c>
      <c r="C143" s="118">
        <f t="shared" ref="C143:C153" si="40">PPMT($J$1/12,G143,$J$2*12,-$J$4,)</f>
        <v>873.94866932721357</v>
      </c>
      <c r="D143" s="118">
        <f t="shared" ref="D143:D153" si="41">IPMT($J$1/12,G143,$J$2*12,-$J$4)</f>
        <v>299.01232166013364</v>
      </c>
      <c r="E143" s="118">
        <f t="shared" si="39"/>
        <v>1172.9609909873473</v>
      </c>
      <c r="F143" s="118">
        <f t="shared" si="25"/>
        <v>58928.515662699509</v>
      </c>
      <c r="G143" s="119">
        <v>122</v>
      </c>
    </row>
    <row r="144" spans="1:7" x14ac:dyDescent="0.25">
      <c r="A144" s="117" t="s">
        <v>209</v>
      </c>
      <c r="B144" s="118">
        <f t="shared" si="38"/>
        <v>58928.515662699509</v>
      </c>
      <c r="C144" s="118">
        <f t="shared" si="40"/>
        <v>878.31841267384971</v>
      </c>
      <c r="D144" s="118">
        <f t="shared" si="41"/>
        <v>294.64257831349749</v>
      </c>
      <c r="E144" s="118">
        <f t="shared" si="39"/>
        <v>1172.9609909873473</v>
      </c>
      <c r="F144" s="118">
        <f t="shared" si="25"/>
        <v>58050.19725002566</v>
      </c>
      <c r="G144" s="119">
        <v>123</v>
      </c>
    </row>
    <row r="145" spans="1:7" x14ac:dyDescent="0.25">
      <c r="A145" s="117" t="s">
        <v>210</v>
      </c>
      <c r="B145" s="118">
        <f t="shared" si="38"/>
        <v>58050.19725002566</v>
      </c>
      <c r="C145" s="118">
        <f t="shared" si="40"/>
        <v>882.71000473721881</v>
      </c>
      <c r="D145" s="118">
        <f t="shared" si="41"/>
        <v>290.25098625012828</v>
      </c>
      <c r="E145" s="118">
        <f t="shared" si="39"/>
        <v>1172.9609909873473</v>
      </c>
      <c r="F145" s="118">
        <f t="shared" si="25"/>
        <v>57167.487245288437</v>
      </c>
      <c r="G145" s="119">
        <v>124</v>
      </c>
    </row>
    <row r="146" spans="1:7" x14ac:dyDescent="0.25">
      <c r="A146" s="117" t="s">
        <v>211</v>
      </c>
      <c r="B146" s="118">
        <f t="shared" si="38"/>
        <v>57167.487245288437</v>
      </c>
      <c r="C146" s="118">
        <f t="shared" si="40"/>
        <v>887.12355476090511</v>
      </c>
      <c r="D146" s="118">
        <f t="shared" si="41"/>
        <v>285.83743622644221</v>
      </c>
      <c r="E146" s="118">
        <f t="shared" si="39"/>
        <v>1172.9609909873473</v>
      </c>
      <c r="F146" s="118">
        <f t="shared" si="25"/>
        <v>56280.363690527534</v>
      </c>
      <c r="G146" s="119">
        <v>125</v>
      </c>
    </row>
    <row r="147" spans="1:7" x14ac:dyDescent="0.25">
      <c r="A147" s="117" t="s">
        <v>212</v>
      </c>
      <c r="B147" s="118">
        <f t="shared" si="38"/>
        <v>56280.363690527534</v>
      </c>
      <c r="C147" s="118">
        <f t="shared" si="40"/>
        <v>891.55917253470955</v>
      </c>
      <c r="D147" s="118">
        <f t="shared" si="41"/>
        <v>281.40181845263766</v>
      </c>
      <c r="E147" s="118">
        <f t="shared" si="39"/>
        <v>1172.9609909873473</v>
      </c>
      <c r="F147" s="118">
        <f t="shared" si="25"/>
        <v>55388.804517992823</v>
      </c>
      <c r="G147" s="119">
        <v>126</v>
      </c>
    </row>
    <row r="148" spans="1:7" x14ac:dyDescent="0.25">
      <c r="A148" s="117" t="s">
        <v>213</v>
      </c>
      <c r="B148" s="118">
        <f t="shared" si="38"/>
        <v>55388.804517992823</v>
      </c>
      <c r="C148" s="118">
        <f t="shared" si="40"/>
        <v>896.01696839738304</v>
      </c>
      <c r="D148" s="118">
        <f t="shared" si="41"/>
        <v>276.94402258996411</v>
      </c>
      <c r="E148" s="118">
        <f t="shared" si="39"/>
        <v>1172.9609909873473</v>
      </c>
      <c r="F148" s="118">
        <f t="shared" si="25"/>
        <v>54492.787549595443</v>
      </c>
      <c r="G148" s="119">
        <v>127</v>
      </c>
    </row>
    <row r="149" spans="1:7" x14ac:dyDescent="0.25">
      <c r="A149" s="117" t="s">
        <v>214</v>
      </c>
      <c r="B149" s="118">
        <f t="shared" si="38"/>
        <v>54492.787549595443</v>
      </c>
      <c r="C149" s="118">
        <f t="shared" si="40"/>
        <v>900.49705323936996</v>
      </c>
      <c r="D149" s="118">
        <f t="shared" si="41"/>
        <v>272.46393774797713</v>
      </c>
      <c r="E149" s="118">
        <f t="shared" si="39"/>
        <v>1172.9609909873473</v>
      </c>
      <c r="F149" s="118">
        <f t="shared" si="25"/>
        <v>53592.290496356072</v>
      </c>
      <c r="G149" s="119">
        <v>128</v>
      </c>
    </row>
    <row r="150" spans="1:7" x14ac:dyDescent="0.25">
      <c r="A150" s="117" t="s">
        <v>215</v>
      </c>
      <c r="B150" s="118">
        <f t="shared" si="38"/>
        <v>53592.290496356072</v>
      </c>
      <c r="C150" s="118">
        <f t="shared" si="40"/>
        <v>904.99953850556676</v>
      </c>
      <c r="D150" s="118">
        <f t="shared" si="41"/>
        <v>267.96145248178033</v>
      </c>
      <c r="E150" s="118">
        <f t="shared" si="39"/>
        <v>1172.9609909873473</v>
      </c>
      <c r="F150" s="118">
        <f t="shared" si="25"/>
        <v>52687.290957850506</v>
      </c>
      <c r="G150" s="119">
        <v>129</v>
      </c>
    </row>
    <row r="151" spans="1:7" x14ac:dyDescent="0.25">
      <c r="A151" s="117" t="s">
        <v>216</v>
      </c>
      <c r="B151" s="118">
        <f t="shared" si="38"/>
        <v>52687.290957850506</v>
      </c>
      <c r="C151" s="118">
        <f t="shared" si="40"/>
        <v>909.52453619809478</v>
      </c>
      <c r="D151" s="118">
        <f t="shared" si="41"/>
        <v>263.43645478925248</v>
      </c>
      <c r="E151" s="118">
        <f t="shared" si="39"/>
        <v>1172.9609909873473</v>
      </c>
      <c r="F151" s="118">
        <f t="shared" ref="F151:F209" si="42">B151-C151</f>
        <v>51777.766421652414</v>
      </c>
      <c r="G151" s="119">
        <v>130</v>
      </c>
    </row>
    <row r="152" spans="1:7" x14ac:dyDescent="0.25">
      <c r="A152" s="117" t="s">
        <v>217</v>
      </c>
      <c r="B152" s="118">
        <f t="shared" si="38"/>
        <v>51777.766421652414</v>
      </c>
      <c r="C152" s="118">
        <f t="shared" si="40"/>
        <v>914.07215887908524</v>
      </c>
      <c r="D152" s="118">
        <f t="shared" si="41"/>
        <v>258.88883210826202</v>
      </c>
      <c r="E152" s="118">
        <f t="shared" si="39"/>
        <v>1172.9609909873473</v>
      </c>
      <c r="F152" s="118">
        <f t="shared" si="42"/>
        <v>50863.69426277333</v>
      </c>
      <c r="G152" s="119">
        <v>131</v>
      </c>
    </row>
    <row r="153" spans="1:7" x14ac:dyDescent="0.25">
      <c r="A153" s="120" t="s">
        <v>218</v>
      </c>
      <c r="B153" s="121">
        <f t="shared" si="38"/>
        <v>50863.69426277333</v>
      </c>
      <c r="C153" s="121">
        <f t="shared" si="40"/>
        <v>918.64251967348059</v>
      </c>
      <c r="D153" s="121">
        <f t="shared" si="41"/>
        <v>254.31847131386658</v>
      </c>
      <c r="E153" s="121">
        <f t="shared" si="39"/>
        <v>1172.9609909873473</v>
      </c>
      <c r="F153" s="121">
        <f t="shared" si="42"/>
        <v>49945.051743099852</v>
      </c>
      <c r="G153" s="122">
        <v>132</v>
      </c>
    </row>
    <row r="154" spans="1:7" x14ac:dyDescent="0.25">
      <c r="A154" s="92" t="s">
        <v>65</v>
      </c>
      <c r="B154" s="90"/>
      <c r="C154" s="94">
        <f>SUM(C142:C153)</f>
        <v>10727.013254924103</v>
      </c>
      <c r="D154" s="93">
        <f>SUM(D142:D153)</f>
        <v>3348.5186369240614</v>
      </c>
      <c r="E154" s="90"/>
      <c r="F154" s="90"/>
      <c r="G154" s="91"/>
    </row>
    <row r="155" spans="1:7" x14ac:dyDescent="0.25">
      <c r="A155" s="7"/>
      <c r="B155" s="6"/>
      <c r="C155" s="6"/>
      <c r="D155" s="6"/>
      <c r="E155" s="6"/>
      <c r="F155" s="6"/>
      <c r="G155" s="10"/>
    </row>
    <row r="156" spans="1:7" x14ac:dyDescent="0.25">
      <c r="A156" s="123" t="s">
        <v>219</v>
      </c>
      <c r="B156" s="124">
        <f>F153</f>
        <v>49945.051743099852</v>
      </c>
      <c r="C156" s="124">
        <f t="shared" ref="C156:C167" si="43">PPMT($J$1/12,G156,$J$2*12,-$J$4,)</f>
        <v>923.23573227184795</v>
      </c>
      <c r="D156" s="124">
        <f t="shared" ref="D156:D167" si="44">IPMT($J$1/12,G156,$J$2*12,-$J$4)</f>
        <v>249.72525871549922</v>
      </c>
      <c r="E156" s="124">
        <f t="shared" ref="E156:E167" si="45">$J$6</f>
        <v>1172.9609909873473</v>
      </c>
      <c r="F156" s="124">
        <f t="shared" si="42"/>
        <v>49021.816010828006</v>
      </c>
      <c r="G156" s="133">
        <v>133</v>
      </c>
    </row>
    <row r="157" spans="1:7" x14ac:dyDescent="0.25">
      <c r="A157" s="126" t="s">
        <v>220</v>
      </c>
      <c r="B157" s="127">
        <f t="shared" si="38"/>
        <v>49021.816010828006</v>
      </c>
      <c r="C157" s="127">
        <f t="shared" si="43"/>
        <v>927.85191093320725</v>
      </c>
      <c r="D157" s="127">
        <f t="shared" si="44"/>
        <v>245.10908005413995</v>
      </c>
      <c r="E157" s="127">
        <f t="shared" si="45"/>
        <v>1172.9609909873473</v>
      </c>
      <c r="F157" s="127">
        <f t="shared" si="42"/>
        <v>48093.964099894802</v>
      </c>
      <c r="G157" s="128">
        <v>134</v>
      </c>
    </row>
    <row r="158" spans="1:7" x14ac:dyDescent="0.25">
      <c r="A158" s="126" t="s">
        <v>221</v>
      </c>
      <c r="B158" s="127">
        <f t="shared" si="38"/>
        <v>48093.964099894802</v>
      </c>
      <c r="C158" s="127">
        <f t="shared" si="43"/>
        <v>932.49117048787332</v>
      </c>
      <c r="D158" s="127">
        <f t="shared" si="44"/>
        <v>240.46982049947391</v>
      </c>
      <c r="E158" s="127">
        <f t="shared" si="45"/>
        <v>1172.9609909873473</v>
      </c>
      <c r="F158" s="127">
        <f t="shared" si="42"/>
        <v>47161.472929406926</v>
      </c>
      <c r="G158" s="128">
        <v>135</v>
      </c>
    </row>
    <row r="159" spans="1:7" x14ac:dyDescent="0.25">
      <c r="A159" s="126" t="s">
        <v>222</v>
      </c>
      <c r="B159" s="127">
        <f t="shared" si="38"/>
        <v>47161.472929406926</v>
      </c>
      <c r="C159" s="127">
        <f t="shared" si="43"/>
        <v>937.1536263403126</v>
      </c>
      <c r="D159" s="127">
        <f t="shared" si="44"/>
        <v>235.80736464703455</v>
      </c>
      <c r="E159" s="127">
        <f t="shared" si="45"/>
        <v>1172.9609909873473</v>
      </c>
      <c r="F159" s="127">
        <f t="shared" si="42"/>
        <v>46224.319303066615</v>
      </c>
      <c r="G159" s="128">
        <v>136</v>
      </c>
    </row>
    <row r="160" spans="1:7" x14ac:dyDescent="0.25">
      <c r="A160" s="126" t="s">
        <v>223</v>
      </c>
      <c r="B160" s="127">
        <f t="shared" si="38"/>
        <v>46224.319303066615</v>
      </c>
      <c r="C160" s="127">
        <f t="shared" si="43"/>
        <v>941.83939447201431</v>
      </c>
      <c r="D160" s="127">
        <f t="shared" si="44"/>
        <v>231.12159651533301</v>
      </c>
      <c r="E160" s="127">
        <f t="shared" si="45"/>
        <v>1172.9609909873473</v>
      </c>
      <c r="F160" s="127">
        <f t="shared" si="42"/>
        <v>45282.4799085946</v>
      </c>
      <c r="G160" s="128">
        <v>137</v>
      </c>
    </row>
    <row r="161" spans="1:7" x14ac:dyDescent="0.25">
      <c r="A161" s="126" t="s">
        <v>224</v>
      </c>
      <c r="B161" s="127">
        <f t="shared" si="38"/>
        <v>45282.4799085946</v>
      </c>
      <c r="C161" s="127">
        <f t="shared" si="43"/>
        <v>946.54859144437421</v>
      </c>
      <c r="D161" s="127">
        <f t="shared" si="44"/>
        <v>226.41239954297293</v>
      </c>
      <c r="E161" s="127">
        <f t="shared" si="45"/>
        <v>1172.9609909873473</v>
      </c>
      <c r="F161" s="127">
        <f t="shared" si="42"/>
        <v>44335.931317150229</v>
      </c>
      <c r="G161" s="128">
        <v>138</v>
      </c>
    </row>
    <row r="162" spans="1:7" x14ac:dyDescent="0.25">
      <c r="A162" s="126" t="s">
        <v>225</v>
      </c>
      <c r="B162" s="127">
        <f t="shared" si="38"/>
        <v>44335.931317150229</v>
      </c>
      <c r="C162" s="127">
        <f t="shared" si="43"/>
        <v>951.28133440159627</v>
      </c>
      <c r="D162" s="127">
        <f t="shared" si="44"/>
        <v>221.67965658575108</v>
      </c>
      <c r="E162" s="127">
        <f t="shared" si="45"/>
        <v>1172.9609909873473</v>
      </c>
      <c r="F162" s="127">
        <f t="shared" si="42"/>
        <v>43384.649982748633</v>
      </c>
      <c r="G162" s="128">
        <v>139</v>
      </c>
    </row>
    <row r="163" spans="1:7" x14ac:dyDescent="0.25">
      <c r="A163" s="126" t="s">
        <v>226</v>
      </c>
      <c r="B163" s="127">
        <f t="shared" si="38"/>
        <v>43384.649982748633</v>
      </c>
      <c r="C163" s="127">
        <f t="shared" si="43"/>
        <v>956.03774107360414</v>
      </c>
      <c r="D163" s="127">
        <f t="shared" si="44"/>
        <v>216.92324991374306</v>
      </c>
      <c r="E163" s="127">
        <f t="shared" si="45"/>
        <v>1172.9609909873473</v>
      </c>
      <c r="F163" s="127">
        <f t="shared" si="42"/>
        <v>42428.61224167503</v>
      </c>
      <c r="G163" s="128">
        <v>140</v>
      </c>
    </row>
    <row r="164" spans="1:7" x14ac:dyDescent="0.25">
      <c r="A164" s="126" t="s">
        <v>227</v>
      </c>
      <c r="B164" s="127">
        <f t="shared" si="38"/>
        <v>42428.61224167503</v>
      </c>
      <c r="C164" s="127">
        <f t="shared" si="43"/>
        <v>960.81792977897214</v>
      </c>
      <c r="D164" s="127">
        <f t="shared" si="44"/>
        <v>212.143061208375</v>
      </c>
      <c r="E164" s="127">
        <f t="shared" si="45"/>
        <v>1172.9609909873473</v>
      </c>
      <c r="F164" s="127">
        <f t="shared" si="42"/>
        <v>41467.794311896054</v>
      </c>
      <c r="G164" s="128">
        <v>141</v>
      </c>
    </row>
    <row r="165" spans="1:7" x14ac:dyDescent="0.25">
      <c r="A165" s="126" t="s">
        <v>228</v>
      </c>
      <c r="B165" s="127">
        <f t="shared" si="38"/>
        <v>41467.794311896054</v>
      </c>
      <c r="C165" s="127">
        <f t="shared" si="43"/>
        <v>965.62201942786703</v>
      </c>
      <c r="D165" s="127">
        <f t="shared" si="44"/>
        <v>207.33897155948017</v>
      </c>
      <c r="E165" s="127">
        <f t="shared" si="45"/>
        <v>1172.9609909873473</v>
      </c>
      <c r="F165" s="127">
        <f t="shared" si="42"/>
        <v>40502.172292468189</v>
      </c>
      <c r="G165" s="128">
        <v>142</v>
      </c>
    </row>
    <row r="166" spans="1:7" x14ac:dyDescent="0.25">
      <c r="A166" s="126" t="s">
        <v>229</v>
      </c>
      <c r="B166" s="127">
        <f t="shared" si="38"/>
        <v>40502.172292468189</v>
      </c>
      <c r="C166" s="127">
        <f t="shared" si="43"/>
        <v>970.45012952500633</v>
      </c>
      <c r="D166" s="127">
        <f t="shared" si="44"/>
        <v>202.51086146234084</v>
      </c>
      <c r="E166" s="127">
        <f t="shared" si="45"/>
        <v>1172.9609909873473</v>
      </c>
      <c r="F166" s="127">
        <f t="shared" si="42"/>
        <v>39531.722162943181</v>
      </c>
      <c r="G166" s="128">
        <v>143</v>
      </c>
    </row>
    <row r="167" spans="1:7" x14ac:dyDescent="0.25">
      <c r="A167" s="130" t="s">
        <v>230</v>
      </c>
      <c r="B167" s="131">
        <f t="shared" si="38"/>
        <v>39531.722162943181</v>
      </c>
      <c r="C167" s="131">
        <f t="shared" si="43"/>
        <v>975.30238017263139</v>
      </c>
      <c r="D167" s="131">
        <f t="shared" si="44"/>
        <v>197.65861081471579</v>
      </c>
      <c r="E167" s="131">
        <f t="shared" si="45"/>
        <v>1172.9609909873473</v>
      </c>
      <c r="F167" s="131">
        <f t="shared" si="42"/>
        <v>38556.41978277055</v>
      </c>
      <c r="G167" s="132">
        <v>144</v>
      </c>
    </row>
    <row r="168" spans="1:7" x14ac:dyDescent="0.25">
      <c r="A168" s="9" t="s">
        <v>65</v>
      </c>
      <c r="B168" s="6"/>
      <c r="C168" s="21">
        <f>SUM(C156:C167)</f>
        <v>11388.631960329307</v>
      </c>
      <c r="D168" s="20">
        <f>SUM(D156:D167)</f>
        <v>2686.8999315188598</v>
      </c>
      <c r="E168" s="6"/>
      <c r="F168" s="6"/>
      <c r="G168" s="10"/>
    </row>
    <row r="169" spans="1:7" x14ac:dyDescent="0.25">
      <c r="A169" s="7"/>
      <c r="B169" s="6"/>
      <c r="C169" s="6"/>
      <c r="D169" s="6"/>
      <c r="E169" s="6"/>
      <c r="F169" s="6"/>
      <c r="G169" s="10"/>
    </row>
    <row r="170" spans="1:7" x14ac:dyDescent="0.25">
      <c r="A170" s="114" t="s">
        <v>231</v>
      </c>
      <c r="B170" s="115">
        <f>F167</f>
        <v>38556.41978277055</v>
      </c>
      <c r="C170" s="115">
        <f t="shared" ref="C170:C181" si="46">PPMT($J$1/12,G170,$J$2*12,-$J$4,)</f>
        <v>980.17889207349447</v>
      </c>
      <c r="D170" s="115">
        <f t="shared" ref="D170:D181" si="47">IPMT($J$1/12,G170,$J$2*12,-$J$4)</f>
        <v>192.78209891385265</v>
      </c>
      <c r="E170" s="115">
        <f t="shared" ref="E170:E181" si="48">$J$6</f>
        <v>1172.9609909873473</v>
      </c>
      <c r="F170" s="115">
        <f t="shared" si="42"/>
        <v>37576.240890697052</v>
      </c>
      <c r="G170" s="116">
        <v>145</v>
      </c>
    </row>
    <row r="171" spans="1:7" x14ac:dyDescent="0.25">
      <c r="A171" s="117" t="s">
        <v>232</v>
      </c>
      <c r="B171" s="118">
        <f t="shared" si="38"/>
        <v>37576.240890697052</v>
      </c>
      <c r="C171" s="118">
        <f t="shared" si="46"/>
        <v>985.07978653386203</v>
      </c>
      <c r="D171" s="118">
        <f t="shared" si="47"/>
        <v>187.8812044534852</v>
      </c>
      <c r="E171" s="118">
        <f t="shared" si="48"/>
        <v>1172.9609909873473</v>
      </c>
      <c r="F171" s="118">
        <f t="shared" si="42"/>
        <v>36591.161104163191</v>
      </c>
      <c r="G171" s="119">
        <v>146</v>
      </c>
    </row>
    <row r="172" spans="1:7" x14ac:dyDescent="0.25">
      <c r="A172" s="117" t="s">
        <v>233</v>
      </c>
      <c r="B172" s="118">
        <f t="shared" si="38"/>
        <v>36591.161104163191</v>
      </c>
      <c r="C172" s="118">
        <f t="shared" si="46"/>
        <v>990.00518546653132</v>
      </c>
      <c r="D172" s="118">
        <f t="shared" si="47"/>
        <v>182.95580552081586</v>
      </c>
      <c r="E172" s="118">
        <f t="shared" si="48"/>
        <v>1172.9609909873473</v>
      </c>
      <c r="F172" s="118">
        <f t="shared" si="42"/>
        <v>35601.155918696662</v>
      </c>
      <c r="G172" s="119">
        <v>147</v>
      </c>
    </row>
    <row r="173" spans="1:7" x14ac:dyDescent="0.25">
      <c r="A173" s="117" t="s">
        <v>234</v>
      </c>
      <c r="B173" s="118">
        <f t="shared" si="38"/>
        <v>35601.155918696662</v>
      </c>
      <c r="C173" s="118">
        <f t="shared" si="46"/>
        <v>994.95521139386403</v>
      </c>
      <c r="D173" s="118">
        <f t="shared" si="47"/>
        <v>178.0057795934832</v>
      </c>
      <c r="E173" s="118">
        <f t="shared" si="48"/>
        <v>1172.9609909873473</v>
      </c>
      <c r="F173" s="118">
        <f t="shared" si="42"/>
        <v>34606.2007073028</v>
      </c>
      <c r="G173" s="119">
        <v>148</v>
      </c>
    </row>
    <row r="174" spans="1:7" x14ac:dyDescent="0.25">
      <c r="A174" s="117" t="s">
        <v>235</v>
      </c>
      <c r="B174" s="118">
        <f t="shared" si="38"/>
        <v>34606.2007073028</v>
      </c>
      <c r="C174" s="118">
        <f t="shared" si="46"/>
        <v>999.92998745083332</v>
      </c>
      <c r="D174" s="118">
        <f t="shared" si="47"/>
        <v>173.03100353651385</v>
      </c>
      <c r="E174" s="118">
        <f t="shared" si="48"/>
        <v>1172.9609909873473</v>
      </c>
      <c r="F174" s="118">
        <f t="shared" si="42"/>
        <v>33606.270719851964</v>
      </c>
      <c r="G174" s="119">
        <v>149</v>
      </c>
    </row>
    <row r="175" spans="1:7" x14ac:dyDescent="0.25">
      <c r="A175" s="117" t="s">
        <v>236</v>
      </c>
      <c r="B175" s="118">
        <f t="shared" si="38"/>
        <v>33606.270719851964</v>
      </c>
      <c r="C175" s="118">
        <f t="shared" si="46"/>
        <v>1004.9296373880875</v>
      </c>
      <c r="D175" s="118">
        <f t="shared" si="47"/>
        <v>168.03135359925972</v>
      </c>
      <c r="E175" s="118">
        <f t="shared" si="48"/>
        <v>1172.9609909873473</v>
      </c>
      <c r="F175" s="118">
        <f t="shared" si="42"/>
        <v>32601.341082463878</v>
      </c>
      <c r="G175" s="119">
        <v>150</v>
      </c>
    </row>
    <row r="176" spans="1:7" x14ac:dyDescent="0.25">
      <c r="A176" s="117" t="s">
        <v>237</v>
      </c>
      <c r="B176" s="118">
        <f t="shared" si="38"/>
        <v>32601.341082463878</v>
      </c>
      <c r="C176" s="118">
        <f t="shared" si="46"/>
        <v>1009.9542855750279</v>
      </c>
      <c r="D176" s="118">
        <f t="shared" si="47"/>
        <v>163.00670541231929</v>
      </c>
      <c r="E176" s="118">
        <f t="shared" si="48"/>
        <v>1172.9609909873473</v>
      </c>
      <c r="F176" s="118">
        <f t="shared" si="42"/>
        <v>31591.386796888848</v>
      </c>
      <c r="G176" s="119">
        <v>151</v>
      </c>
    </row>
    <row r="177" spans="1:7" x14ac:dyDescent="0.25">
      <c r="A177" s="117" t="s">
        <v>238</v>
      </c>
      <c r="B177" s="118">
        <f t="shared" si="38"/>
        <v>31591.386796888848</v>
      </c>
      <c r="C177" s="118">
        <f t="shared" si="46"/>
        <v>1015.004057002903</v>
      </c>
      <c r="D177" s="118">
        <f t="shared" si="47"/>
        <v>157.95693398444416</v>
      </c>
      <c r="E177" s="118">
        <f t="shared" si="48"/>
        <v>1172.9609909873473</v>
      </c>
      <c r="F177" s="118">
        <f t="shared" si="42"/>
        <v>30576.382739885947</v>
      </c>
      <c r="G177" s="119">
        <v>152</v>
      </c>
    </row>
    <row r="178" spans="1:7" x14ac:dyDescent="0.25">
      <c r="A178" s="117" t="s">
        <v>239</v>
      </c>
      <c r="B178" s="118">
        <f t="shared" si="38"/>
        <v>30576.382739885947</v>
      </c>
      <c r="C178" s="118">
        <f t="shared" si="46"/>
        <v>1020.0790772879176</v>
      </c>
      <c r="D178" s="118">
        <f t="shared" si="47"/>
        <v>152.88191369942962</v>
      </c>
      <c r="E178" s="118">
        <f t="shared" si="48"/>
        <v>1172.9609909873473</v>
      </c>
      <c r="F178" s="118">
        <f t="shared" si="42"/>
        <v>29556.303662598028</v>
      </c>
      <c r="G178" s="119">
        <v>153</v>
      </c>
    </row>
    <row r="179" spans="1:7" x14ac:dyDescent="0.25">
      <c r="A179" s="117" t="s">
        <v>240</v>
      </c>
      <c r="B179" s="118">
        <f t="shared" si="38"/>
        <v>29556.303662598028</v>
      </c>
      <c r="C179" s="118">
        <f t="shared" si="46"/>
        <v>1025.1794726743572</v>
      </c>
      <c r="D179" s="118">
        <f t="shared" si="47"/>
        <v>147.78151831299004</v>
      </c>
      <c r="E179" s="118">
        <f t="shared" si="48"/>
        <v>1172.9609909873473</v>
      </c>
      <c r="F179" s="118">
        <f t="shared" si="42"/>
        <v>28531.12418992367</v>
      </c>
      <c r="G179" s="119">
        <v>154</v>
      </c>
    </row>
    <row r="180" spans="1:7" x14ac:dyDescent="0.25">
      <c r="A180" s="117" t="s">
        <v>241</v>
      </c>
      <c r="B180" s="118">
        <f t="shared" si="38"/>
        <v>28531.12418992367</v>
      </c>
      <c r="C180" s="118">
        <f t="shared" si="46"/>
        <v>1030.3053700377288</v>
      </c>
      <c r="D180" s="118">
        <f t="shared" si="47"/>
        <v>142.65562094961822</v>
      </c>
      <c r="E180" s="118">
        <f t="shared" si="48"/>
        <v>1172.9609909873473</v>
      </c>
      <c r="F180" s="118">
        <f t="shared" si="42"/>
        <v>27500.818819885943</v>
      </c>
      <c r="G180" s="119">
        <v>155</v>
      </c>
    </row>
    <row r="181" spans="1:7" x14ac:dyDescent="0.25">
      <c r="A181" s="120" t="s">
        <v>242</v>
      </c>
      <c r="B181" s="121">
        <f t="shared" si="38"/>
        <v>27500.818819885943</v>
      </c>
      <c r="C181" s="121">
        <f t="shared" si="46"/>
        <v>1035.4568968879175</v>
      </c>
      <c r="D181" s="121">
        <f t="shared" si="47"/>
        <v>137.50409409942958</v>
      </c>
      <c r="E181" s="121">
        <f t="shared" si="48"/>
        <v>1172.9609909873473</v>
      </c>
      <c r="F181" s="121">
        <f t="shared" si="42"/>
        <v>26465.361922998025</v>
      </c>
      <c r="G181" s="122">
        <v>156</v>
      </c>
    </row>
    <row r="182" spans="1:7" x14ac:dyDescent="0.25">
      <c r="A182" s="92" t="s">
        <v>65</v>
      </c>
      <c r="B182" s="90"/>
      <c r="C182" s="94">
        <f>SUM(C170:C181)</f>
        <v>12091.057859772525</v>
      </c>
      <c r="D182" s="93">
        <f>SUM(D170:D181)</f>
        <v>1984.4740320756414</v>
      </c>
      <c r="E182" s="90"/>
      <c r="F182" s="90"/>
      <c r="G182" s="91"/>
    </row>
    <row r="183" spans="1:7" x14ac:dyDescent="0.25">
      <c r="A183" s="7"/>
      <c r="B183" s="6"/>
      <c r="C183" s="6"/>
      <c r="D183" s="6"/>
      <c r="E183" s="6"/>
      <c r="F183" s="6"/>
      <c r="G183" s="10"/>
    </row>
    <row r="184" spans="1:7" x14ac:dyDescent="0.25">
      <c r="A184" s="123" t="s">
        <v>243</v>
      </c>
      <c r="B184" s="124">
        <f>F181</f>
        <v>26465.361922998025</v>
      </c>
      <c r="C184" s="124">
        <f t="shared" ref="C184:C195" si="49">PPMT($J$1/12,G184,$J$2*12,-$J$4,)</f>
        <v>1040.634181372357</v>
      </c>
      <c r="D184" s="124">
        <f t="shared" ref="D184:D195" si="50">IPMT($J$1/12,G184,$J$2*12,-$J$4)</f>
        <v>132.32680961499003</v>
      </c>
      <c r="E184" s="124">
        <f t="shared" ref="E184:E195" si="51">$J$6</f>
        <v>1172.9609909873473</v>
      </c>
      <c r="F184" s="124">
        <f t="shared" si="42"/>
        <v>25424.727741625669</v>
      </c>
      <c r="G184" s="133">
        <v>157</v>
      </c>
    </row>
    <row r="185" spans="1:7" x14ac:dyDescent="0.25">
      <c r="A185" s="126" t="s">
        <v>244</v>
      </c>
      <c r="B185" s="127">
        <f t="shared" si="38"/>
        <v>25424.727741625669</v>
      </c>
      <c r="C185" s="127">
        <f t="shared" si="49"/>
        <v>1045.837352279219</v>
      </c>
      <c r="D185" s="127">
        <f t="shared" si="50"/>
        <v>127.12363870812823</v>
      </c>
      <c r="E185" s="127">
        <f t="shared" si="51"/>
        <v>1172.9609909873473</v>
      </c>
      <c r="F185" s="127">
        <f t="shared" si="42"/>
        <v>24378.890389346452</v>
      </c>
      <c r="G185" s="128">
        <v>158</v>
      </c>
    </row>
    <row r="186" spans="1:7" x14ac:dyDescent="0.25">
      <c r="A186" s="126" t="s">
        <v>245</v>
      </c>
      <c r="B186" s="127">
        <f t="shared" si="38"/>
        <v>24378.890389346452</v>
      </c>
      <c r="C186" s="127">
        <f t="shared" si="49"/>
        <v>1051.0665390406152</v>
      </c>
      <c r="D186" s="127">
        <f t="shared" si="50"/>
        <v>121.89445194673213</v>
      </c>
      <c r="E186" s="127">
        <f t="shared" si="51"/>
        <v>1172.9609909873473</v>
      </c>
      <c r="F186" s="127">
        <f t="shared" si="42"/>
        <v>23327.823850305838</v>
      </c>
      <c r="G186" s="128">
        <v>159</v>
      </c>
    </row>
    <row r="187" spans="1:7" x14ac:dyDescent="0.25">
      <c r="A187" s="126" t="s">
        <v>246</v>
      </c>
      <c r="B187" s="127">
        <f t="shared" si="38"/>
        <v>23327.823850305838</v>
      </c>
      <c r="C187" s="127">
        <f t="shared" si="49"/>
        <v>1056.3218717358181</v>
      </c>
      <c r="D187" s="127">
        <f t="shared" si="50"/>
        <v>116.63911925152907</v>
      </c>
      <c r="E187" s="127">
        <f t="shared" si="51"/>
        <v>1172.9609909873473</v>
      </c>
      <c r="F187" s="127">
        <f t="shared" si="42"/>
        <v>22271.501978570021</v>
      </c>
      <c r="G187" s="128">
        <v>160</v>
      </c>
    </row>
    <row r="188" spans="1:7" x14ac:dyDescent="0.25">
      <c r="A188" s="126" t="s">
        <v>247</v>
      </c>
      <c r="B188" s="127">
        <f t="shared" si="38"/>
        <v>22271.501978570021</v>
      </c>
      <c r="C188" s="127">
        <f t="shared" si="49"/>
        <v>1061.6034810944973</v>
      </c>
      <c r="D188" s="127">
        <f t="shared" si="50"/>
        <v>111.35750989284996</v>
      </c>
      <c r="E188" s="127">
        <f t="shared" si="51"/>
        <v>1172.9609909873473</v>
      </c>
      <c r="F188" s="127">
        <f t="shared" si="42"/>
        <v>21209.898497475522</v>
      </c>
      <c r="G188" s="128">
        <v>161</v>
      </c>
    </row>
    <row r="189" spans="1:7" x14ac:dyDescent="0.25">
      <c r="A189" s="126" t="s">
        <v>248</v>
      </c>
      <c r="B189" s="127">
        <f t="shared" si="38"/>
        <v>21209.898497475522</v>
      </c>
      <c r="C189" s="127">
        <f t="shared" si="49"/>
        <v>1066.9114984999699</v>
      </c>
      <c r="D189" s="127">
        <f t="shared" si="50"/>
        <v>106.04949248737746</v>
      </c>
      <c r="E189" s="127">
        <f t="shared" si="51"/>
        <v>1172.9609909873473</v>
      </c>
      <c r="F189" s="127">
        <f t="shared" si="42"/>
        <v>20142.986998975553</v>
      </c>
      <c r="G189" s="128">
        <v>162</v>
      </c>
    </row>
    <row r="190" spans="1:7" x14ac:dyDescent="0.25">
      <c r="A190" s="126" t="s">
        <v>249</v>
      </c>
      <c r="B190" s="127">
        <f t="shared" si="38"/>
        <v>20142.986998975553</v>
      </c>
      <c r="C190" s="127">
        <f t="shared" si="49"/>
        <v>1072.2460559924696</v>
      </c>
      <c r="D190" s="127">
        <f t="shared" si="50"/>
        <v>100.71493499487764</v>
      </c>
      <c r="E190" s="127">
        <f t="shared" si="51"/>
        <v>1172.9609909873473</v>
      </c>
      <c r="F190" s="127">
        <f t="shared" si="42"/>
        <v>19070.740942983084</v>
      </c>
      <c r="G190" s="128">
        <v>163</v>
      </c>
    </row>
    <row r="191" spans="1:7" x14ac:dyDescent="0.25">
      <c r="A191" s="126" t="s">
        <v>250</v>
      </c>
      <c r="B191" s="127">
        <f t="shared" si="38"/>
        <v>19070.740942983084</v>
      </c>
      <c r="C191" s="127">
        <f t="shared" si="49"/>
        <v>1077.607286272432</v>
      </c>
      <c r="D191" s="127">
        <f t="shared" si="50"/>
        <v>95.353704714915253</v>
      </c>
      <c r="E191" s="127">
        <f t="shared" si="51"/>
        <v>1172.9609909873473</v>
      </c>
      <c r="F191" s="127">
        <f t="shared" si="42"/>
        <v>17993.133656710652</v>
      </c>
      <c r="G191" s="128">
        <v>164</v>
      </c>
    </row>
    <row r="192" spans="1:7" x14ac:dyDescent="0.25">
      <c r="A192" s="126" t="s">
        <v>251</v>
      </c>
      <c r="B192" s="127">
        <f t="shared" si="38"/>
        <v>17993.133656710652</v>
      </c>
      <c r="C192" s="127">
        <f t="shared" si="49"/>
        <v>1082.995322703794</v>
      </c>
      <c r="D192" s="127">
        <f t="shared" si="50"/>
        <v>89.9656682835531</v>
      </c>
      <c r="E192" s="127">
        <f t="shared" si="51"/>
        <v>1172.9609909873473</v>
      </c>
      <c r="F192" s="127">
        <f t="shared" si="42"/>
        <v>16910.138334006857</v>
      </c>
      <c r="G192" s="128">
        <v>165</v>
      </c>
    </row>
    <row r="193" spans="1:7" x14ac:dyDescent="0.25">
      <c r="A193" s="126" t="s">
        <v>252</v>
      </c>
      <c r="B193" s="127">
        <f t="shared" si="38"/>
        <v>16910.138334006857</v>
      </c>
      <c r="C193" s="127">
        <f t="shared" si="49"/>
        <v>1088.410299317313</v>
      </c>
      <c r="D193" s="127">
        <f t="shared" si="50"/>
        <v>84.550691670034141</v>
      </c>
      <c r="E193" s="127">
        <f t="shared" si="51"/>
        <v>1172.9609909873473</v>
      </c>
      <c r="F193" s="127">
        <f t="shared" si="42"/>
        <v>15821.728034689544</v>
      </c>
      <c r="G193" s="128">
        <v>166</v>
      </c>
    </row>
    <row r="194" spans="1:7" x14ac:dyDescent="0.25">
      <c r="A194" s="126" t="s">
        <v>253</v>
      </c>
      <c r="B194" s="127">
        <f t="shared" si="38"/>
        <v>15821.728034689544</v>
      </c>
      <c r="C194" s="127">
        <f t="shared" si="49"/>
        <v>1093.8523508138996</v>
      </c>
      <c r="D194" s="127">
        <f t="shared" si="50"/>
        <v>79.108640173447569</v>
      </c>
      <c r="E194" s="127">
        <f t="shared" si="51"/>
        <v>1172.9609909873473</v>
      </c>
      <c r="F194" s="127">
        <f t="shared" si="42"/>
        <v>14727.875683875645</v>
      </c>
      <c r="G194" s="128">
        <v>167</v>
      </c>
    </row>
    <row r="195" spans="1:7" x14ac:dyDescent="0.25">
      <c r="A195" s="130" t="s">
        <v>254</v>
      </c>
      <c r="B195" s="131">
        <f t="shared" si="38"/>
        <v>14727.875683875645</v>
      </c>
      <c r="C195" s="131">
        <f t="shared" si="49"/>
        <v>1099.3216125679692</v>
      </c>
      <c r="D195" s="131">
        <f t="shared" si="50"/>
        <v>73.639378419378076</v>
      </c>
      <c r="E195" s="131">
        <f t="shared" si="51"/>
        <v>1172.9609909873473</v>
      </c>
      <c r="F195" s="131">
        <f t="shared" si="42"/>
        <v>13628.554071307677</v>
      </c>
      <c r="G195" s="132">
        <v>168</v>
      </c>
    </row>
    <row r="196" spans="1:7" x14ac:dyDescent="0.25">
      <c r="A196" s="9" t="s">
        <v>65</v>
      </c>
      <c r="B196" s="6"/>
      <c r="C196" s="21">
        <f>SUM(C184:C195)</f>
        <v>12836.807851690352</v>
      </c>
      <c r="D196" s="20">
        <f>SUM(D184:D195)</f>
        <v>1238.7240401578126</v>
      </c>
      <c r="E196" s="6"/>
      <c r="F196" s="6"/>
      <c r="G196" s="10"/>
    </row>
    <row r="197" spans="1:7" x14ac:dyDescent="0.25">
      <c r="A197" s="7"/>
      <c r="B197" s="6"/>
      <c r="C197" s="6"/>
      <c r="D197" s="6"/>
      <c r="E197" s="6"/>
      <c r="F197" s="6"/>
      <c r="G197" s="10"/>
    </row>
    <row r="198" spans="1:7" x14ac:dyDescent="0.25">
      <c r="A198" s="114" t="s">
        <v>255</v>
      </c>
      <c r="B198" s="115">
        <f>F195</f>
        <v>13628.554071307677</v>
      </c>
      <c r="C198" s="115">
        <f t="shared" ref="C198:C209" si="52">PPMT($J$1/12,G198,$J$2*12,-$J$4,)</f>
        <v>1104.818220630809</v>
      </c>
      <c r="D198" s="115">
        <f t="shared" ref="D198:D209" si="53">IPMT($J$1/12,G198,$J$2*12,-$J$4)</f>
        <v>68.142770356538236</v>
      </c>
      <c r="E198" s="115">
        <f t="shared" ref="E198:E209" si="54">$J$6</f>
        <v>1172.9609909873473</v>
      </c>
      <c r="F198" s="115">
        <f t="shared" si="42"/>
        <v>12523.735850676869</v>
      </c>
      <c r="G198" s="116">
        <v>169</v>
      </c>
    </row>
    <row r="199" spans="1:7" x14ac:dyDescent="0.25">
      <c r="A199" s="117" t="s">
        <v>256</v>
      </c>
      <c r="B199" s="118">
        <f t="shared" si="38"/>
        <v>12523.735850676869</v>
      </c>
      <c r="C199" s="118">
        <f t="shared" si="52"/>
        <v>1110.342311733963</v>
      </c>
      <c r="D199" s="118">
        <f t="shared" si="53"/>
        <v>62.61867925338418</v>
      </c>
      <c r="E199" s="118">
        <f t="shared" si="54"/>
        <v>1172.9609909873473</v>
      </c>
      <c r="F199" s="118">
        <f t="shared" si="42"/>
        <v>11413.393538942906</v>
      </c>
      <c r="G199" s="119">
        <v>170</v>
      </c>
    </row>
    <row r="200" spans="1:7" x14ac:dyDescent="0.25">
      <c r="A200" s="117" t="s">
        <v>257</v>
      </c>
      <c r="B200" s="118">
        <f t="shared" si="38"/>
        <v>11413.393538942906</v>
      </c>
      <c r="C200" s="118">
        <f t="shared" si="52"/>
        <v>1115.8940232926327</v>
      </c>
      <c r="D200" s="118">
        <f t="shared" si="53"/>
        <v>57.066967694714371</v>
      </c>
      <c r="E200" s="118">
        <f t="shared" si="54"/>
        <v>1172.9609909873473</v>
      </c>
      <c r="F200" s="118">
        <f t="shared" si="42"/>
        <v>10297.499515650274</v>
      </c>
      <c r="G200" s="119">
        <v>171</v>
      </c>
    </row>
    <row r="201" spans="1:7" x14ac:dyDescent="0.25">
      <c r="A201" s="117" t="s">
        <v>258</v>
      </c>
      <c r="B201" s="118">
        <f t="shared" si="38"/>
        <v>10297.499515650274</v>
      </c>
      <c r="C201" s="118">
        <f t="shared" si="52"/>
        <v>1121.4734934090959</v>
      </c>
      <c r="D201" s="118">
        <f t="shared" si="53"/>
        <v>51.487497578251208</v>
      </c>
      <c r="E201" s="118">
        <f t="shared" si="54"/>
        <v>1172.9609909873473</v>
      </c>
      <c r="F201" s="118">
        <f t="shared" si="42"/>
        <v>9176.026022241178</v>
      </c>
      <c r="G201" s="119">
        <v>172</v>
      </c>
    </row>
    <row r="202" spans="1:7" x14ac:dyDescent="0.25">
      <c r="A202" s="117" t="s">
        <v>259</v>
      </c>
      <c r="B202" s="118">
        <f t="shared" ref="B202:B209" si="55">F201</f>
        <v>9176.026022241178</v>
      </c>
      <c r="C202" s="118">
        <f t="shared" si="52"/>
        <v>1127.0808608761415</v>
      </c>
      <c r="D202" s="118">
        <f t="shared" si="53"/>
        <v>45.880130111205716</v>
      </c>
      <c r="E202" s="118">
        <f t="shared" si="54"/>
        <v>1172.9609909873473</v>
      </c>
      <c r="F202" s="118">
        <f t="shared" si="42"/>
        <v>8048.9451613650363</v>
      </c>
      <c r="G202" s="119">
        <v>173</v>
      </c>
    </row>
    <row r="203" spans="1:7" x14ac:dyDescent="0.25">
      <c r="A203" s="117" t="s">
        <v>260</v>
      </c>
      <c r="B203" s="118">
        <f t="shared" si="55"/>
        <v>8048.9451613650363</v>
      </c>
      <c r="C203" s="118">
        <f t="shared" si="52"/>
        <v>1132.7162651805222</v>
      </c>
      <c r="D203" s="118">
        <f t="shared" si="53"/>
        <v>40.244725806825002</v>
      </c>
      <c r="E203" s="118">
        <f t="shared" si="54"/>
        <v>1172.9609909873473</v>
      </c>
      <c r="F203" s="118">
        <f t="shared" si="42"/>
        <v>6916.2288961845143</v>
      </c>
      <c r="G203" s="119">
        <v>174</v>
      </c>
    </row>
    <row r="204" spans="1:7" x14ac:dyDescent="0.25">
      <c r="A204" s="117" t="s">
        <v>261</v>
      </c>
      <c r="B204" s="118">
        <f t="shared" si="55"/>
        <v>6916.2288961845143</v>
      </c>
      <c r="C204" s="118">
        <f t="shared" si="52"/>
        <v>1138.3798465064249</v>
      </c>
      <c r="D204" s="118">
        <f t="shared" si="53"/>
        <v>34.581144480922397</v>
      </c>
      <c r="E204" s="118">
        <f t="shared" si="54"/>
        <v>1172.9609909873473</v>
      </c>
      <c r="F204" s="118">
        <f t="shared" si="42"/>
        <v>5777.8490496780896</v>
      </c>
      <c r="G204" s="119">
        <v>175</v>
      </c>
    </row>
    <row r="205" spans="1:7" x14ac:dyDescent="0.25">
      <c r="A205" s="117" t="s">
        <v>262</v>
      </c>
      <c r="B205" s="118">
        <f t="shared" si="55"/>
        <v>5777.8490496780896</v>
      </c>
      <c r="C205" s="118">
        <f t="shared" si="52"/>
        <v>1144.0717457389569</v>
      </c>
      <c r="D205" s="118">
        <f t="shared" si="53"/>
        <v>28.889245248390274</v>
      </c>
      <c r="E205" s="118">
        <f t="shared" si="54"/>
        <v>1172.9609909873473</v>
      </c>
      <c r="F205" s="118">
        <f t="shared" si="42"/>
        <v>4633.7773039391323</v>
      </c>
      <c r="G205" s="119">
        <v>176</v>
      </c>
    </row>
    <row r="206" spans="1:7" x14ac:dyDescent="0.25">
      <c r="A206" s="117" t="s">
        <v>263</v>
      </c>
      <c r="B206" s="118">
        <f t="shared" si="55"/>
        <v>4633.7773039391323</v>
      </c>
      <c r="C206" s="118">
        <f t="shared" si="52"/>
        <v>1149.7921044676516</v>
      </c>
      <c r="D206" s="118">
        <f t="shared" si="53"/>
        <v>23.168886519695484</v>
      </c>
      <c r="E206" s="118">
        <f t="shared" si="54"/>
        <v>1172.9609909873473</v>
      </c>
      <c r="F206" s="118">
        <f t="shared" si="42"/>
        <v>3483.9851994714809</v>
      </c>
      <c r="G206" s="119">
        <v>177</v>
      </c>
    </row>
    <row r="207" spans="1:7" x14ac:dyDescent="0.25">
      <c r="A207" s="117" t="s">
        <v>264</v>
      </c>
      <c r="B207" s="118">
        <f t="shared" si="55"/>
        <v>3483.9851994714809</v>
      </c>
      <c r="C207" s="118">
        <f t="shared" si="52"/>
        <v>1155.54106498999</v>
      </c>
      <c r="D207" s="118">
        <f t="shared" si="53"/>
        <v>17.419925997357229</v>
      </c>
      <c r="E207" s="118">
        <f t="shared" si="54"/>
        <v>1172.9609909873473</v>
      </c>
      <c r="F207" s="118">
        <f t="shared" si="42"/>
        <v>2328.4441344814909</v>
      </c>
      <c r="G207" s="119">
        <v>178</v>
      </c>
    </row>
    <row r="208" spans="1:7" x14ac:dyDescent="0.25">
      <c r="A208" s="117" t="s">
        <v>265</v>
      </c>
      <c r="B208" s="118">
        <f t="shared" si="55"/>
        <v>2328.4441344814909</v>
      </c>
      <c r="C208" s="118">
        <f t="shared" si="52"/>
        <v>1161.3187703149399</v>
      </c>
      <c r="D208" s="118">
        <f t="shared" si="53"/>
        <v>11.642220672407275</v>
      </c>
      <c r="E208" s="118">
        <f t="shared" si="54"/>
        <v>1172.9609909873473</v>
      </c>
      <c r="F208" s="118">
        <f t="shared" si="42"/>
        <v>1167.125364166551</v>
      </c>
      <c r="G208" s="119">
        <v>179</v>
      </c>
    </row>
    <row r="209" spans="1:7" x14ac:dyDescent="0.25">
      <c r="A209" s="120" t="s">
        <v>266</v>
      </c>
      <c r="B209" s="121">
        <f t="shared" si="55"/>
        <v>1167.125364166551</v>
      </c>
      <c r="C209" s="121">
        <f t="shared" si="52"/>
        <v>1167.1253641665146</v>
      </c>
      <c r="D209" s="121">
        <f t="shared" si="53"/>
        <v>5.8356268208325739</v>
      </c>
      <c r="E209" s="121">
        <f t="shared" si="54"/>
        <v>1172.9609909873473</v>
      </c>
      <c r="F209" s="121">
        <f t="shared" si="42"/>
        <v>3.637978807091713E-11</v>
      </c>
      <c r="G209" s="122">
        <v>180</v>
      </c>
    </row>
    <row r="210" spans="1:7" x14ac:dyDescent="0.25">
      <c r="A210" s="92" t="s">
        <v>65</v>
      </c>
      <c r="B210" s="90"/>
      <c r="C210" s="94">
        <f>SUM(C198:C209)</f>
        <v>13628.554071307641</v>
      </c>
      <c r="D210" s="93">
        <f>SUM(D198:D209)</f>
        <v>446.97782054052396</v>
      </c>
      <c r="E210" s="95"/>
      <c r="F210" s="95"/>
      <c r="G210" s="95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1"/>
  <sheetViews>
    <sheetView workbookViewId="0">
      <pane xSplit="2" ySplit="1" topLeftCell="C48" activePane="bottomRight" state="frozen"/>
      <selection pane="topRight" activeCell="D1" sqref="D1"/>
      <selection pane="bottomLeft" activeCell="A2" sqref="A2"/>
      <selection pane="bottomRight" activeCell="E62" sqref="E62"/>
    </sheetView>
  </sheetViews>
  <sheetFormatPr defaultColWidth="8.85546875" defaultRowHeight="15" x14ac:dyDescent="0.25"/>
  <cols>
    <col min="1" max="1" width="4.28515625" customWidth="1"/>
    <col min="2" max="2" width="35.85546875" customWidth="1"/>
    <col min="3" max="3" width="15.42578125" style="12" bestFit="1" customWidth="1"/>
    <col min="4" max="4" width="9.42578125" style="12" bestFit="1" customWidth="1"/>
    <col min="5" max="5" width="15.140625" style="12" bestFit="1" customWidth="1"/>
    <col min="6" max="6" width="9.42578125" style="12" bestFit="1" customWidth="1"/>
    <col min="7" max="7" width="15.7109375" style="12" bestFit="1" customWidth="1"/>
    <col min="8" max="8" width="9.42578125" style="12" bestFit="1" customWidth="1"/>
    <col min="9" max="9" width="15" style="12" bestFit="1" customWidth="1"/>
    <col min="10" max="10" width="9.42578125" style="12" bestFit="1" customWidth="1"/>
    <col min="11" max="11" width="14.7109375" style="12" bestFit="1" customWidth="1"/>
    <col min="12" max="12" width="9.42578125" style="12" bestFit="1" customWidth="1"/>
    <col min="13" max="13" width="15" style="12" bestFit="1" customWidth="1"/>
    <col min="14" max="14" width="13.85546875" style="12" bestFit="1" customWidth="1"/>
    <col min="15" max="15" width="15.7109375" style="12" bestFit="1" customWidth="1"/>
    <col min="16" max="16" width="13.42578125" style="12" bestFit="1" customWidth="1"/>
    <col min="17" max="17" width="14.42578125" style="12" bestFit="1" customWidth="1"/>
    <col min="18" max="18" width="13.85546875" style="12" bestFit="1" customWidth="1"/>
    <col min="19" max="19" width="15" style="12" bestFit="1" customWidth="1"/>
    <col min="20" max="20" width="14.140625" style="12" bestFit="1" customWidth="1"/>
    <col min="21" max="21" width="14.42578125" style="12" bestFit="1" customWidth="1"/>
    <col min="22" max="22" width="9.42578125" style="12" bestFit="1" customWidth="1"/>
    <col min="23" max="23" width="14.42578125" style="12" bestFit="1" customWidth="1"/>
    <col min="24" max="24" width="9.42578125" style="12" bestFit="1" customWidth="1"/>
    <col min="25" max="25" width="14.42578125" style="12" bestFit="1" customWidth="1"/>
    <col min="26" max="26" width="9.42578125" style="12" bestFit="1" customWidth="1"/>
    <col min="27" max="27" width="14.7109375" style="12" bestFit="1" customWidth="1"/>
    <col min="28" max="28" width="9.42578125" style="12" bestFit="1" customWidth="1"/>
    <col min="29" max="29" width="14.42578125" style="12" bestFit="1" customWidth="1"/>
    <col min="30" max="30" width="9.42578125" style="12" bestFit="1" customWidth="1"/>
    <col min="31" max="31" width="14.42578125" style="12" bestFit="1" customWidth="1"/>
    <col min="32" max="32" width="9.42578125" style="12" bestFit="1" customWidth="1"/>
    <col min="33" max="33" width="14.7109375" style="12" bestFit="1" customWidth="1"/>
    <col min="34" max="34" width="9.42578125" style="12" bestFit="1" customWidth="1"/>
    <col min="35" max="35" width="13.140625" style="12" bestFit="1" customWidth="1"/>
    <col min="36" max="36" width="9.42578125" style="12" bestFit="1" customWidth="1"/>
    <col min="37" max="37" width="8.42578125" customWidth="1"/>
  </cols>
  <sheetData>
    <row r="1" spans="1:55" x14ac:dyDescent="0.25">
      <c r="A1" s="54" t="s">
        <v>269</v>
      </c>
      <c r="B1" s="55"/>
      <c r="C1" s="211">
        <v>2012</v>
      </c>
      <c r="D1" s="211"/>
      <c r="E1" s="213">
        <v>2013</v>
      </c>
      <c r="F1" s="213"/>
      <c r="G1" s="211">
        <v>2014</v>
      </c>
      <c r="H1" s="211"/>
      <c r="I1" s="213">
        <v>2015</v>
      </c>
      <c r="J1" s="213"/>
      <c r="K1" s="211">
        <v>2016</v>
      </c>
      <c r="L1" s="211"/>
      <c r="M1" s="213">
        <v>2017</v>
      </c>
      <c r="N1" s="213"/>
      <c r="O1" s="211">
        <v>2018</v>
      </c>
      <c r="P1" s="211"/>
      <c r="Q1" s="213">
        <v>2019</v>
      </c>
      <c r="R1" s="213"/>
      <c r="S1" s="211">
        <v>2020</v>
      </c>
      <c r="T1" s="211"/>
      <c r="U1" s="213">
        <v>2021</v>
      </c>
      <c r="V1" s="213"/>
      <c r="W1" s="211">
        <v>2022</v>
      </c>
      <c r="X1" s="211"/>
      <c r="Y1" s="213">
        <v>2023</v>
      </c>
      <c r="Z1" s="213"/>
      <c r="AA1" s="211">
        <v>2024</v>
      </c>
      <c r="AB1" s="211"/>
      <c r="AC1" s="213">
        <v>2025</v>
      </c>
      <c r="AD1" s="213"/>
      <c r="AE1" s="211">
        <v>2026</v>
      </c>
      <c r="AF1" s="211"/>
      <c r="AG1" s="213">
        <v>2027</v>
      </c>
      <c r="AH1" s="213"/>
      <c r="AI1" s="211">
        <v>2028</v>
      </c>
      <c r="AJ1" s="2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55" x14ac:dyDescent="0.25">
      <c r="A2" s="56"/>
      <c r="B2" s="45"/>
      <c r="C2" s="62"/>
      <c r="D2" s="62"/>
      <c r="G2" s="62"/>
      <c r="H2" s="62"/>
      <c r="K2" s="62"/>
      <c r="L2" s="62"/>
      <c r="O2" s="62"/>
      <c r="P2" s="62"/>
      <c r="S2" s="62"/>
      <c r="T2" s="62"/>
      <c r="W2" s="62"/>
      <c r="X2" s="62"/>
      <c r="AA2" s="62"/>
      <c r="AB2" s="62"/>
      <c r="AE2" s="62"/>
      <c r="AF2" s="62"/>
      <c r="AI2" s="62"/>
      <c r="AJ2" s="69"/>
    </row>
    <row r="3" spans="1:55" x14ac:dyDescent="0.25">
      <c r="A3" s="179" t="s">
        <v>270</v>
      </c>
      <c r="B3" s="180"/>
      <c r="C3" s="62"/>
      <c r="D3" s="62"/>
      <c r="G3" s="62"/>
      <c r="H3" s="62"/>
      <c r="K3" s="62"/>
      <c r="L3" s="62"/>
      <c r="O3" s="62"/>
      <c r="P3" s="62"/>
      <c r="S3" s="62"/>
      <c r="T3" s="62"/>
      <c r="W3" s="62"/>
      <c r="X3" s="62"/>
      <c r="AA3" s="62"/>
      <c r="AB3" s="62"/>
      <c r="AE3" s="62"/>
      <c r="AF3" s="62"/>
      <c r="AI3" s="62"/>
      <c r="AJ3" s="69"/>
    </row>
    <row r="4" spans="1:55" x14ac:dyDescent="0.25">
      <c r="A4" s="179"/>
      <c r="B4" s="180"/>
      <c r="C4" s="62"/>
      <c r="D4" s="62"/>
      <c r="G4" s="62"/>
      <c r="H4" s="62"/>
      <c r="K4" s="62"/>
      <c r="L4" s="62"/>
      <c r="O4" s="62"/>
      <c r="P4" s="62"/>
      <c r="S4" s="62"/>
      <c r="T4" s="62"/>
      <c r="W4" s="62"/>
      <c r="X4" s="62"/>
      <c r="AA4" s="62"/>
      <c r="AB4" s="62"/>
      <c r="AE4" s="62"/>
      <c r="AF4" s="62"/>
      <c r="AI4" s="62"/>
      <c r="AJ4" s="69"/>
    </row>
    <row r="5" spans="1:55" x14ac:dyDescent="0.25">
      <c r="A5" s="56"/>
      <c r="B5" s="45"/>
      <c r="C5" s="62"/>
      <c r="D5" s="62"/>
      <c r="G5" s="62"/>
      <c r="H5" s="62"/>
      <c r="K5" s="62"/>
      <c r="L5" s="62"/>
      <c r="O5" s="62"/>
      <c r="P5" s="62"/>
      <c r="S5" s="62"/>
      <c r="T5" s="62"/>
      <c r="W5" s="62"/>
      <c r="X5" s="62"/>
      <c r="AA5" s="62"/>
      <c r="AB5" s="62"/>
      <c r="AE5" s="62"/>
      <c r="AF5" s="62"/>
      <c r="AI5" s="62"/>
      <c r="AJ5" s="69"/>
    </row>
    <row r="6" spans="1:55" x14ac:dyDescent="0.25">
      <c r="A6" s="56"/>
      <c r="B6" s="45" t="s">
        <v>271</v>
      </c>
      <c r="C6" s="196">
        <f>Assumptions!E39</f>
        <v>0.01</v>
      </c>
      <c r="D6" s="196"/>
      <c r="E6" s="198">
        <f>C6</f>
        <v>0.01</v>
      </c>
      <c r="F6" s="198"/>
      <c r="G6" s="196">
        <f t="shared" ref="G6:G7" si="0">E6</f>
        <v>0.01</v>
      </c>
      <c r="H6" s="196"/>
      <c r="I6" s="198">
        <f t="shared" ref="I6:I7" si="1">G6</f>
        <v>0.01</v>
      </c>
      <c r="J6" s="198"/>
      <c r="K6" s="196">
        <f t="shared" ref="K6:K7" si="2">I6</f>
        <v>0.01</v>
      </c>
      <c r="L6" s="196"/>
      <c r="M6" s="198">
        <f t="shared" ref="M6:M7" si="3">K6</f>
        <v>0.01</v>
      </c>
      <c r="N6" s="198"/>
      <c r="O6" s="196">
        <f t="shared" ref="O6:O7" si="4">M6</f>
        <v>0.01</v>
      </c>
      <c r="P6" s="196"/>
      <c r="Q6" s="198">
        <f t="shared" ref="Q6:Q7" si="5">O6</f>
        <v>0.01</v>
      </c>
      <c r="R6" s="198"/>
      <c r="S6" s="196">
        <f t="shared" ref="S6:S7" si="6">Q6</f>
        <v>0.01</v>
      </c>
      <c r="T6" s="196"/>
      <c r="U6" s="198">
        <f t="shared" ref="U6:U7" si="7">S6</f>
        <v>0.01</v>
      </c>
      <c r="V6" s="198"/>
      <c r="W6" s="196">
        <f t="shared" ref="W6:W7" si="8">U6</f>
        <v>0.01</v>
      </c>
      <c r="X6" s="196"/>
      <c r="Y6" s="198">
        <f t="shared" ref="Y6:Y7" si="9">W6</f>
        <v>0.01</v>
      </c>
      <c r="Z6" s="198"/>
      <c r="AA6" s="196">
        <f t="shared" ref="AA6:AA7" si="10">Y6</f>
        <v>0.01</v>
      </c>
      <c r="AB6" s="196"/>
      <c r="AC6" s="198">
        <f t="shared" ref="AC6:AC7" si="11">AA6</f>
        <v>0.01</v>
      </c>
      <c r="AD6" s="198"/>
      <c r="AE6" s="196">
        <f t="shared" ref="AE6:AE7" si="12">AC6</f>
        <v>0.01</v>
      </c>
      <c r="AF6" s="196"/>
      <c r="AG6" s="198">
        <f t="shared" ref="AG6:AG7" si="13">AE6</f>
        <v>0.01</v>
      </c>
      <c r="AH6" s="198"/>
      <c r="AI6" s="196">
        <f t="shared" ref="AI6:AI7" si="14">AG6</f>
        <v>0.01</v>
      </c>
      <c r="AJ6" s="197"/>
    </row>
    <row r="7" spans="1:55" x14ac:dyDescent="0.25">
      <c r="A7" s="56"/>
      <c r="B7" s="45" t="s">
        <v>272</v>
      </c>
      <c r="C7" s="196">
        <f>Assumptions!E40</f>
        <v>0.12</v>
      </c>
      <c r="D7" s="196"/>
      <c r="E7" s="198">
        <f>C7</f>
        <v>0.12</v>
      </c>
      <c r="F7" s="198"/>
      <c r="G7" s="196">
        <f t="shared" si="0"/>
        <v>0.12</v>
      </c>
      <c r="H7" s="196"/>
      <c r="I7" s="198">
        <f t="shared" si="1"/>
        <v>0.12</v>
      </c>
      <c r="J7" s="198"/>
      <c r="K7" s="196">
        <f t="shared" si="2"/>
        <v>0.12</v>
      </c>
      <c r="L7" s="196"/>
      <c r="M7" s="198">
        <f t="shared" si="3"/>
        <v>0.12</v>
      </c>
      <c r="N7" s="198"/>
      <c r="O7" s="196">
        <f t="shared" si="4"/>
        <v>0.12</v>
      </c>
      <c r="P7" s="196"/>
      <c r="Q7" s="198">
        <f t="shared" si="5"/>
        <v>0.12</v>
      </c>
      <c r="R7" s="198"/>
      <c r="S7" s="196">
        <f t="shared" si="6"/>
        <v>0.12</v>
      </c>
      <c r="T7" s="196"/>
      <c r="U7" s="198">
        <f t="shared" si="7"/>
        <v>0.12</v>
      </c>
      <c r="V7" s="198"/>
      <c r="W7" s="196">
        <f t="shared" si="8"/>
        <v>0.12</v>
      </c>
      <c r="X7" s="196"/>
      <c r="Y7" s="198">
        <f t="shared" si="9"/>
        <v>0.12</v>
      </c>
      <c r="Z7" s="198"/>
      <c r="AA7" s="196">
        <f t="shared" si="10"/>
        <v>0.12</v>
      </c>
      <c r="AB7" s="196"/>
      <c r="AC7" s="198">
        <f t="shared" si="11"/>
        <v>0.12</v>
      </c>
      <c r="AD7" s="198"/>
      <c r="AE7" s="196">
        <f t="shared" si="12"/>
        <v>0.12</v>
      </c>
      <c r="AF7" s="196"/>
      <c r="AG7" s="198">
        <f t="shared" si="13"/>
        <v>0.12</v>
      </c>
      <c r="AH7" s="198"/>
      <c r="AI7" s="196">
        <f t="shared" si="14"/>
        <v>0.12</v>
      </c>
      <c r="AJ7" s="197"/>
    </row>
    <row r="8" spans="1:55" x14ac:dyDescent="0.25">
      <c r="A8" s="56"/>
      <c r="B8" s="45" t="s">
        <v>273</v>
      </c>
      <c r="C8" s="196">
        <f>C7-C6</f>
        <v>0.11</v>
      </c>
      <c r="D8" s="196"/>
      <c r="E8" s="198">
        <f>E7-E6</f>
        <v>0.11</v>
      </c>
      <c r="F8" s="198"/>
      <c r="G8" s="196">
        <f t="shared" ref="G8" si="15">G7-G6</f>
        <v>0.11</v>
      </c>
      <c r="H8" s="196"/>
      <c r="I8" s="198">
        <f t="shared" ref="I8" si="16">I7-I6</f>
        <v>0.11</v>
      </c>
      <c r="J8" s="198"/>
      <c r="K8" s="196">
        <f t="shared" ref="K8" si="17">K7-K6</f>
        <v>0.11</v>
      </c>
      <c r="L8" s="196"/>
      <c r="M8" s="198">
        <f t="shared" ref="M8" si="18">M7-M6</f>
        <v>0.11</v>
      </c>
      <c r="N8" s="198"/>
      <c r="O8" s="196">
        <f t="shared" ref="O8" si="19">O7-O6</f>
        <v>0.11</v>
      </c>
      <c r="P8" s="196"/>
      <c r="Q8" s="198">
        <f t="shared" ref="Q8" si="20">Q7-Q6</f>
        <v>0.11</v>
      </c>
      <c r="R8" s="198"/>
      <c r="S8" s="196">
        <f t="shared" ref="S8" si="21">S7-S6</f>
        <v>0.11</v>
      </c>
      <c r="T8" s="196"/>
      <c r="U8" s="198">
        <f t="shared" ref="U8" si="22">U7-U6</f>
        <v>0.11</v>
      </c>
      <c r="V8" s="198"/>
      <c r="W8" s="196">
        <f t="shared" ref="W8" si="23">W7-W6</f>
        <v>0.11</v>
      </c>
      <c r="X8" s="196"/>
      <c r="Y8" s="198">
        <f t="shared" ref="Y8" si="24">Y7-Y6</f>
        <v>0.11</v>
      </c>
      <c r="Z8" s="198"/>
      <c r="AA8" s="196">
        <f t="shared" ref="AA8" si="25">AA7-AA6</f>
        <v>0.11</v>
      </c>
      <c r="AB8" s="196"/>
      <c r="AC8" s="198">
        <f t="shared" ref="AC8" si="26">AC7-AC6</f>
        <v>0.11</v>
      </c>
      <c r="AD8" s="198"/>
      <c r="AE8" s="196">
        <f t="shared" ref="AE8" si="27">AE7-AE6</f>
        <v>0.11</v>
      </c>
      <c r="AF8" s="196"/>
      <c r="AG8" s="198">
        <f t="shared" ref="AG8" si="28">AG7-AG6</f>
        <v>0.11</v>
      </c>
      <c r="AH8" s="198"/>
      <c r="AI8" s="196">
        <f t="shared" ref="AI8" si="29">AI7-AI6</f>
        <v>0.11</v>
      </c>
      <c r="AJ8" s="197"/>
    </row>
    <row r="9" spans="1:55" x14ac:dyDescent="0.25">
      <c r="A9" s="56"/>
      <c r="B9" s="45"/>
      <c r="C9" s="62"/>
      <c r="D9" s="62"/>
      <c r="G9" s="62"/>
      <c r="H9" s="62"/>
      <c r="K9" s="62"/>
      <c r="L9" s="62"/>
      <c r="O9" s="62"/>
      <c r="P9" s="62"/>
      <c r="S9" s="62"/>
      <c r="T9" s="62"/>
      <c r="W9" s="62"/>
      <c r="X9" s="62"/>
      <c r="AA9" s="62"/>
      <c r="AB9" s="62"/>
      <c r="AE9" s="62"/>
      <c r="AF9" s="62"/>
      <c r="AI9" s="62"/>
      <c r="AJ9" s="69"/>
    </row>
    <row r="10" spans="1:55" x14ac:dyDescent="0.25">
      <c r="A10" s="56"/>
      <c r="B10" s="45" t="s">
        <v>274</v>
      </c>
      <c r="C10" s="190">
        <f>C6+C36*C8</f>
        <v>0.1167</v>
      </c>
      <c r="D10" s="190"/>
      <c r="E10" s="195">
        <f>E6+E36*E8</f>
        <v>0.1167</v>
      </c>
      <c r="F10" s="195"/>
      <c r="G10" s="190">
        <f t="shared" ref="G10" si="30">G6+G36*G8</f>
        <v>0.1167</v>
      </c>
      <c r="H10" s="190"/>
      <c r="I10" s="195">
        <f t="shared" ref="I10" si="31">I6+I36*I8</f>
        <v>0.1167</v>
      </c>
      <c r="J10" s="195"/>
      <c r="K10" s="190">
        <f t="shared" ref="K10" si="32">K6+K36*K8</f>
        <v>0.1167</v>
      </c>
      <c r="L10" s="190"/>
      <c r="M10" s="195">
        <f t="shared" ref="M10" si="33">M6+M36*M8</f>
        <v>0.1167</v>
      </c>
      <c r="N10" s="195"/>
      <c r="O10" s="190">
        <f t="shared" ref="O10" si="34">O6+O36*O8</f>
        <v>0.1167</v>
      </c>
      <c r="P10" s="190"/>
      <c r="Q10" s="195">
        <f t="shared" ref="Q10" si="35">Q6+Q36*Q8</f>
        <v>0.1167</v>
      </c>
      <c r="R10" s="195"/>
      <c r="S10" s="190">
        <f t="shared" ref="S10" si="36">S6+S36*S8</f>
        <v>0.1167</v>
      </c>
      <c r="T10" s="190"/>
      <c r="U10" s="195">
        <f t="shared" ref="U10" si="37">U6+U36*U8</f>
        <v>0.1167</v>
      </c>
      <c r="V10" s="195"/>
      <c r="W10" s="190">
        <f t="shared" ref="W10" si="38">W6+W36*W8</f>
        <v>0.1167</v>
      </c>
      <c r="X10" s="190"/>
      <c r="Y10" s="195">
        <f t="shared" ref="Y10" si="39">Y6+Y36*Y8</f>
        <v>0.1167</v>
      </c>
      <c r="Z10" s="195"/>
      <c r="AA10" s="190">
        <f t="shared" ref="AA10" si="40">AA6+AA36*AA8</f>
        <v>0.1167</v>
      </c>
      <c r="AB10" s="190"/>
      <c r="AC10" s="195">
        <f t="shared" ref="AC10" si="41">AC6+AC36*AC8</f>
        <v>0.1167</v>
      </c>
      <c r="AD10" s="195"/>
      <c r="AE10" s="190">
        <f t="shared" ref="AE10" si="42">AE6+AE36*AE8</f>
        <v>0.1167</v>
      </c>
      <c r="AF10" s="190"/>
      <c r="AG10" s="195">
        <f t="shared" ref="AG10" si="43">AG6+AG36*AG8</f>
        <v>0.1167</v>
      </c>
      <c r="AH10" s="195"/>
      <c r="AI10" s="190">
        <f t="shared" ref="AI10" si="44">AI6+AI36*AI8</f>
        <v>0.1167</v>
      </c>
      <c r="AJ10" s="191"/>
    </row>
    <row r="11" spans="1:55" x14ac:dyDescent="0.25">
      <c r="A11" s="56"/>
      <c r="B11" s="45"/>
      <c r="C11" s="62"/>
      <c r="D11" s="62"/>
      <c r="G11" s="62"/>
      <c r="H11" s="62"/>
      <c r="K11" s="62"/>
      <c r="L11" s="62"/>
      <c r="O11" s="62"/>
      <c r="P11" s="62"/>
      <c r="S11" s="62"/>
      <c r="T11" s="62"/>
      <c r="W11" s="62"/>
      <c r="X11" s="62"/>
      <c r="AA11" s="62"/>
      <c r="AB11" s="62"/>
      <c r="AE11" s="62"/>
      <c r="AF11" s="62"/>
      <c r="AI11" s="62"/>
      <c r="AJ11" s="69"/>
    </row>
    <row r="12" spans="1:55" x14ac:dyDescent="0.25">
      <c r="A12" s="179" t="s">
        <v>275</v>
      </c>
      <c r="B12" s="180"/>
      <c r="C12" s="62"/>
      <c r="D12" s="62"/>
      <c r="G12" s="62"/>
      <c r="H12" s="62"/>
      <c r="K12" s="62"/>
      <c r="L12" s="62"/>
      <c r="O12" s="62"/>
      <c r="P12" s="62"/>
      <c r="S12" s="62"/>
      <c r="T12" s="62"/>
      <c r="W12" s="62"/>
      <c r="X12" s="62"/>
      <c r="AA12" s="62"/>
      <c r="AB12" s="62"/>
      <c r="AE12" s="62"/>
      <c r="AF12" s="62"/>
      <c r="AI12" s="62"/>
      <c r="AJ12" s="69"/>
    </row>
    <row r="13" spans="1:55" x14ac:dyDescent="0.25">
      <c r="A13" s="179"/>
      <c r="B13" s="180"/>
      <c r="C13" s="62"/>
      <c r="D13" s="62"/>
      <c r="G13" s="62"/>
      <c r="H13" s="62"/>
      <c r="K13" s="62"/>
      <c r="L13" s="62"/>
      <c r="O13" s="62"/>
      <c r="P13" s="62"/>
      <c r="S13" s="62"/>
      <c r="T13" s="62"/>
      <c r="W13" s="62"/>
      <c r="X13" s="62"/>
      <c r="AA13" s="62"/>
      <c r="AB13" s="62"/>
      <c r="AE13" s="62"/>
      <c r="AF13" s="62"/>
      <c r="AI13" s="62"/>
      <c r="AJ13" s="69"/>
    </row>
    <row r="14" spans="1:55" x14ac:dyDescent="0.25">
      <c r="A14" s="57"/>
      <c r="B14" s="45"/>
      <c r="C14" s="62"/>
      <c r="D14" s="62"/>
      <c r="G14" s="62"/>
      <c r="H14" s="62"/>
      <c r="K14" s="62"/>
      <c r="L14" s="62"/>
      <c r="O14" s="62"/>
      <c r="P14" s="62"/>
      <c r="S14" s="62"/>
      <c r="T14" s="62"/>
      <c r="W14" s="62"/>
      <c r="X14" s="62"/>
      <c r="AA14" s="62"/>
      <c r="AB14" s="62"/>
      <c r="AE14" s="62"/>
      <c r="AF14" s="62"/>
      <c r="AI14" s="62"/>
      <c r="AJ14" s="69"/>
    </row>
    <row r="15" spans="1:55" s="22" customFormat="1" x14ac:dyDescent="0.25">
      <c r="A15" s="58"/>
      <c r="B15" s="50" t="s">
        <v>276</v>
      </c>
      <c r="C15" s="63">
        <f>'Financial Statements'!D45</f>
        <v>133104.08238386255</v>
      </c>
      <c r="D15" s="63"/>
      <c r="E15" s="38">
        <f>'Financial Statements'!G45</f>
        <v>126844.51747022837</v>
      </c>
      <c r="F15" s="38"/>
      <c r="G15" s="63">
        <f>'Financial Statements'!J45</f>
        <v>120198.87628949741</v>
      </c>
      <c r="H15" s="63"/>
      <c r="I15" s="38">
        <f>+'Financial Statements'!M45</f>
        <v>113143.34650230237</v>
      </c>
      <c r="J15" s="38"/>
      <c r="K15" s="63">
        <f>+'Financial Statements'!P45</f>
        <v>105652.64707628834</v>
      </c>
      <c r="L15" s="63"/>
      <c r="M15" s="38">
        <f>+'Financial Statements'!S45</f>
        <v>97699.937700343129</v>
      </c>
      <c r="N15" s="38">
        <f>+'Financial Statements'!V45</f>
        <v>89256.722611695295</v>
      </c>
      <c r="O15" s="63">
        <f>+'Financial Statements'!V45</f>
        <v>89256.722611695295</v>
      </c>
      <c r="P15" s="63">
        <f>+'Financial Statements'!AB45</f>
        <v>70775.896061504041</v>
      </c>
      <c r="Q15" s="38">
        <f>+'Financial Statements'!Y45</f>
        <v>80292.74849127834</v>
      </c>
      <c r="R15" s="38">
        <f>+'Financial Statements'!AH45</f>
        <v>49945.051743099852</v>
      </c>
      <c r="S15" s="63">
        <f>+'Financial Statements'!AB45</f>
        <v>70775.896061504041</v>
      </c>
      <c r="T15" s="63">
        <f>+'Financial Statements'!AN45</f>
        <v>26465.361922998025</v>
      </c>
      <c r="U15" s="38">
        <f>+'Financial Statements'!AE45</f>
        <v>60672.064998023947</v>
      </c>
      <c r="V15" s="38">
        <f>+'Financial Statements'!AT45</f>
        <v>0</v>
      </c>
      <c r="W15" s="63">
        <f>+'Financial Statements'!AH45</f>
        <v>49945.051743099852</v>
      </c>
      <c r="X15" s="63">
        <f>+'Financial Statements'!AZ45</f>
        <v>0</v>
      </c>
      <c r="Y15" s="38">
        <f>+'Financial Statements'!AK45</f>
        <v>38556.41978277055</v>
      </c>
      <c r="Z15" s="38">
        <f>+'Financial Statements'!BD45</f>
        <v>0</v>
      </c>
      <c r="AA15" s="63">
        <f>+'Financial Statements'!AN45</f>
        <v>26465.361922998025</v>
      </c>
      <c r="AB15" s="63">
        <f>+'Financial Statements'!BF45</f>
        <v>0</v>
      </c>
      <c r="AC15" s="38">
        <f>+'Financial Statements'!AQ45</f>
        <v>13628.554071307677</v>
      </c>
      <c r="AD15" s="38">
        <f>+'Financial Statements'!BH45</f>
        <v>0</v>
      </c>
      <c r="AE15" s="63">
        <f>+'Financial Statements'!AT45</f>
        <v>0</v>
      </c>
      <c r="AF15" s="63">
        <f>+'Financial Statements'!BJ45</f>
        <v>0</v>
      </c>
      <c r="AG15" s="38">
        <f>+'Financial Statements'!AW45</f>
        <v>0</v>
      </c>
      <c r="AH15" s="38">
        <f>+'Financial Statements'!BL45</f>
        <v>0</v>
      </c>
      <c r="AI15" s="63">
        <f>+'Financial Statements'!AZ45</f>
        <v>0</v>
      </c>
      <c r="AJ15" s="70"/>
    </row>
    <row r="16" spans="1:55" s="22" customFormat="1" x14ac:dyDescent="0.25">
      <c r="A16" s="58"/>
      <c r="B16" s="51" t="s">
        <v>299</v>
      </c>
      <c r="C16" s="62"/>
      <c r="D16" s="64">
        <f ca="1">C15/C21</f>
        <v>1</v>
      </c>
      <c r="E16" s="36"/>
      <c r="F16" s="47">
        <f ca="1">E15/E21</f>
        <v>1</v>
      </c>
      <c r="G16" s="62"/>
      <c r="H16" s="64">
        <f t="shared" ref="H16" ca="1" si="45">G15/G21</f>
        <v>1</v>
      </c>
      <c r="I16" s="36"/>
      <c r="J16" s="47">
        <f t="shared" ref="J16" ca="1" si="46">I15/I21</f>
        <v>1</v>
      </c>
      <c r="K16" s="62"/>
      <c r="L16" s="64">
        <f t="shared" ref="L16" ca="1" si="47">K15/K21</f>
        <v>1</v>
      </c>
      <c r="M16" s="36"/>
      <c r="N16" s="47">
        <f t="shared" ref="N16" ca="1" si="48">M15/M21</f>
        <v>1</v>
      </c>
      <c r="O16" s="62"/>
      <c r="P16" s="64">
        <f t="shared" ref="P16" ca="1" si="49">O15/O21</f>
        <v>1</v>
      </c>
      <c r="Q16" s="36"/>
      <c r="R16" s="47">
        <f t="shared" ref="R16" ca="1" si="50">Q15/Q21</f>
        <v>1</v>
      </c>
      <c r="S16" s="62"/>
      <c r="T16" s="64">
        <f t="shared" ref="T16" ca="1" si="51">S15/S21</f>
        <v>1</v>
      </c>
      <c r="U16" s="36"/>
      <c r="V16" s="47">
        <f t="shared" ref="V16" ca="1" si="52">U15/U21</f>
        <v>1</v>
      </c>
      <c r="W16" s="62"/>
      <c r="X16" s="64">
        <f t="shared" ref="X16" ca="1" si="53">W15/W21</f>
        <v>1</v>
      </c>
      <c r="Y16" s="36"/>
      <c r="Z16" s="47">
        <f t="shared" ref="Z16" ca="1" si="54">Y15/Y21</f>
        <v>1</v>
      </c>
      <c r="AA16" s="62"/>
      <c r="AB16" s="64">
        <f t="shared" ref="AB16" ca="1" si="55">AA15/AA21</f>
        <v>1</v>
      </c>
      <c r="AC16" s="36"/>
      <c r="AD16" s="47">
        <f ca="1">AC15/AC21</f>
        <v>1</v>
      </c>
      <c r="AE16" s="62"/>
      <c r="AF16" s="64">
        <f>IF(AE15=0,0,AE15/AE21)</f>
        <v>0</v>
      </c>
      <c r="AG16" s="36"/>
      <c r="AH16" s="47">
        <f>IF(AG15=0,0,AG15/AG21)</f>
        <v>0</v>
      </c>
      <c r="AI16" s="62"/>
      <c r="AJ16" s="73">
        <f>IF(AI15=0,0,AI15/AI21)</f>
        <v>0</v>
      </c>
    </row>
    <row r="17" spans="1:36" s="22" customFormat="1" x14ac:dyDescent="0.25">
      <c r="A17" s="58"/>
      <c r="B17" s="51" t="s">
        <v>300</v>
      </c>
      <c r="C17" s="62"/>
      <c r="D17" s="64">
        <f>Mortgage!$J$1</f>
        <v>0.06</v>
      </c>
      <c r="E17" s="36"/>
      <c r="F17" s="47">
        <f>Mortgage!$J$1</f>
        <v>0.06</v>
      </c>
      <c r="G17" s="62"/>
      <c r="H17" s="64">
        <f>Mortgage!$J$1</f>
        <v>0.06</v>
      </c>
      <c r="I17" s="36"/>
      <c r="J17" s="47">
        <f>Mortgage!$J$1</f>
        <v>0.06</v>
      </c>
      <c r="K17" s="62"/>
      <c r="L17" s="64">
        <f>Mortgage!$J$1</f>
        <v>0.06</v>
      </c>
      <c r="M17" s="36"/>
      <c r="N17" s="47">
        <f>Mortgage!$J$1</f>
        <v>0.06</v>
      </c>
      <c r="O17" s="62"/>
      <c r="P17" s="64">
        <f>Mortgage!$J$1</f>
        <v>0.06</v>
      </c>
      <c r="Q17" s="36"/>
      <c r="R17" s="47">
        <f>Mortgage!$J$1</f>
        <v>0.06</v>
      </c>
      <c r="S17" s="62"/>
      <c r="T17" s="64">
        <f>Mortgage!$J$1</f>
        <v>0.06</v>
      </c>
      <c r="U17" s="36"/>
      <c r="V17" s="47">
        <f>Mortgage!$J$1</f>
        <v>0.06</v>
      </c>
      <c r="W17" s="62"/>
      <c r="X17" s="64">
        <f>Mortgage!$J$1</f>
        <v>0.06</v>
      </c>
      <c r="Y17" s="36"/>
      <c r="Z17" s="47">
        <f>Mortgage!$J$1</f>
        <v>0.06</v>
      </c>
      <c r="AA17" s="62"/>
      <c r="AB17" s="64">
        <f>Mortgage!$J$1</f>
        <v>0.06</v>
      </c>
      <c r="AC17" s="36"/>
      <c r="AD17" s="47">
        <f>Mortgage!$J$1</f>
        <v>0.06</v>
      </c>
      <c r="AE17" s="62"/>
      <c r="AF17" s="64">
        <f>Mortgage!$J$1</f>
        <v>0.06</v>
      </c>
      <c r="AG17" s="36"/>
      <c r="AH17" s="47">
        <f>Mortgage!$J$1</f>
        <v>0.06</v>
      </c>
      <c r="AI17" s="62"/>
      <c r="AJ17" s="71">
        <f>Mortgage!$J$1</f>
        <v>0.06</v>
      </c>
    </row>
    <row r="18" spans="1:36" s="22" customFormat="1" x14ac:dyDescent="0.25">
      <c r="A18" s="58"/>
      <c r="B18" s="50" t="s">
        <v>277</v>
      </c>
      <c r="C18" s="65">
        <f ca="1">'Financial Statements'!D46</f>
        <v>0</v>
      </c>
      <c r="D18" s="66"/>
      <c r="E18" s="53">
        <f ca="1">'Financial Statements'!G46</f>
        <v>0</v>
      </c>
      <c r="F18" s="48"/>
      <c r="G18" s="65">
        <f ca="1">+'Financial Statements'!M46</f>
        <v>0</v>
      </c>
      <c r="H18" s="66"/>
      <c r="I18" s="53">
        <f ca="1">+'Financial Statements'!M46</f>
        <v>0</v>
      </c>
      <c r="J18" s="48"/>
      <c r="K18" s="65">
        <f ca="1">'Financial Statements'!AB46</f>
        <v>0</v>
      </c>
      <c r="L18" s="66"/>
      <c r="M18" s="53">
        <f ca="1">+'Financial Statements'!S46</f>
        <v>0</v>
      </c>
      <c r="N18" s="48"/>
      <c r="O18" s="65">
        <f ca="1">+'Financial Statements'!V46</f>
        <v>0</v>
      </c>
      <c r="P18" s="66"/>
      <c r="Q18" s="53">
        <f ca="1">+'Financial Statements'!Y46</f>
        <v>0</v>
      </c>
      <c r="R18" s="48"/>
      <c r="S18" s="65">
        <f ca="1">+'Financial Statements'!AB46</f>
        <v>0</v>
      </c>
      <c r="T18" s="66"/>
      <c r="U18" s="53">
        <f ca="1">+'Financial Statements'!AE46</f>
        <v>0</v>
      </c>
      <c r="V18" s="48"/>
      <c r="W18" s="65">
        <f ca="1">+'Financial Statements'!AH46</f>
        <v>0</v>
      </c>
      <c r="X18" s="66"/>
      <c r="Y18" s="53">
        <f ca="1">+'Financial Statements'!AK46</f>
        <v>0</v>
      </c>
      <c r="Z18" s="48"/>
      <c r="AA18" s="65">
        <f ca="1">+'Financial Statements'!AN46</f>
        <v>0</v>
      </c>
      <c r="AB18" s="66"/>
      <c r="AC18" s="53">
        <f ca="1">+'Financial Statements'!AQ46</f>
        <v>0</v>
      </c>
      <c r="AD18" s="48"/>
      <c r="AE18" s="65">
        <f ca="1">+'Financial Statements'!AT46</f>
        <v>0</v>
      </c>
      <c r="AF18" s="66"/>
      <c r="AG18" s="53">
        <f ca="1">+'Financial Statements'!AW46</f>
        <v>0</v>
      </c>
      <c r="AH18" s="48"/>
      <c r="AI18" s="65">
        <f ca="1">+'Financial Statements'!AZ46</f>
        <v>0</v>
      </c>
      <c r="AJ18" s="72"/>
    </row>
    <row r="19" spans="1:36" s="22" customFormat="1" x14ac:dyDescent="0.25">
      <c r="A19" s="58"/>
      <c r="B19" s="51" t="s">
        <v>299</v>
      </c>
      <c r="C19" s="62"/>
      <c r="D19" s="64">
        <f ca="1">C18/C21</f>
        <v>0</v>
      </c>
      <c r="E19" s="36"/>
      <c r="F19" s="47">
        <f ca="1">E18/E21</f>
        <v>0</v>
      </c>
      <c r="G19" s="62"/>
      <c r="H19" s="64">
        <f t="shared" ref="H19" ca="1" si="56">G18/G21</f>
        <v>0</v>
      </c>
      <c r="I19" s="36"/>
      <c r="J19" s="47">
        <f t="shared" ref="J19" ca="1" si="57">I18/I21</f>
        <v>0</v>
      </c>
      <c r="K19" s="62"/>
      <c r="L19" s="64">
        <f t="shared" ref="L19" ca="1" si="58">K18/K21</f>
        <v>0</v>
      </c>
      <c r="M19" s="36"/>
      <c r="N19" s="47">
        <f t="shared" ref="N19" ca="1" si="59">M18/M21</f>
        <v>0</v>
      </c>
      <c r="O19" s="62"/>
      <c r="P19" s="64">
        <f t="shared" ref="P19" ca="1" si="60">O18/O21</f>
        <v>0</v>
      </c>
      <c r="Q19" s="36"/>
      <c r="R19" s="47">
        <f t="shared" ref="R19" ca="1" si="61">Q18/Q21</f>
        <v>0</v>
      </c>
      <c r="S19" s="62"/>
      <c r="T19" s="64">
        <f t="shared" ref="T19" ca="1" si="62">S18/S21</f>
        <v>0</v>
      </c>
      <c r="U19" s="36"/>
      <c r="V19" s="47">
        <f t="shared" ref="V19" ca="1" si="63">U18/U21</f>
        <v>0</v>
      </c>
      <c r="W19" s="62"/>
      <c r="X19" s="64">
        <f t="shared" ref="X19" ca="1" si="64">W18/W21</f>
        <v>0</v>
      </c>
      <c r="Y19" s="36"/>
      <c r="Z19" s="47">
        <f t="shared" ref="Z19" ca="1" si="65">Y18/Y21</f>
        <v>0</v>
      </c>
      <c r="AA19" s="62"/>
      <c r="AB19" s="64">
        <f t="shared" ref="AB19" ca="1" si="66">AA18/AA21</f>
        <v>0</v>
      </c>
      <c r="AC19" s="36"/>
      <c r="AD19" s="47">
        <f t="shared" ref="AD19" ca="1" si="67">AC18/AC21</f>
        <v>0</v>
      </c>
      <c r="AE19" s="62"/>
      <c r="AF19" s="64">
        <f ca="1">IF(AE18=0,0,AE18/AE21)</f>
        <v>0</v>
      </c>
      <c r="AG19" s="36"/>
      <c r="AH19" s="47">
        <f ca="1">IF(AG18=0,0,AG18/AG21)</f>
        <v>0</v>
      </c>
      <c r="AI19" s="62"/>
      <c r="AJ19" s="71">
        <f ca="1">IF(AI18=0,0,AI18/AI21)</f>
        <v>0</v>
      </c>
    </row>
    <row r="20" spans="1:36" s="22" customFormat="1" x14ac:dyDescent="0.25">
      <c r="A20" s="58"/>
      <c r="B20" s="51" t="s">
        <v>300</v>
      </c>
      <c r="C20" s="67"/>
      <c r="D20" s="66">
        <f>Assumptions!$C$35</f>
        <v>0.17</v>
      </c>
      <c r="E20" s="23"/>
      <c r="F20" s="48">
        <f>Assumptions!$C$35</f>
        <v>0.17</v>
      </c>
      <c r="G20" s="67"/>
      <c r="H20" s="66">
        <f>Assumptions!$C$35</f>
        <v>0.17</v>
      </c>
      <c r="I20" s="23"/>
      <c r="J20" s="48">
        <f>Assumptions!$C$35</f>
        <v>0.17</v>
      </c>
      <c r="K20" s="67"/>
      <c r="L20" s="66">
        <f>Assumptions!$C$35</f>
        <v>0.17</v>
      </c>
      <c r="M20" s="23"/>
      <c r="N20" s="48">
        <f>Assumptions!$C$35</f>
        <v>0.17</v>
      </c>
      <c r="O20" s="67"/>
      <c r="P20" s="66">
        <f>Assumptions!$C$35</f>
        <v>0.17</v>
      </c>
      <c r="Q20" s="23"/>
      <c r="R20" s="48">
        <f>Assumptions!$C$35</f>
        <v>0.17</v>
      </c>
      <c r="S20" s="67"/>
      <c r="T20" s="66">
        <f>Assumptions!$C$35</f>
        <v>0.17</v>
      </c>
      <c r="U20" s="23"/>
      <c r="V20" s="48">
        <f>Assumptions!$C$35</f>
        <v>0.17</v>
      </c>
      <c r="W20" s="67"/>
      <c r="X20" s="66">
        <f>Assumptions!$C$35</f>
        <v>0.17</v>
      </c>
      <c r="Y20" s="23"/>
      <c r="Z20" s="48">
        <f>Assumptions!$C$35</f>
        <v>0.17</v>
      </c>
      <c r="AA20" s="67"/>
      <c r="AB20" s="66">
        <f>Assumptions!$C$35</f>
        <v>0.17</v>
      </c>
      <c r="AC20" s="23"/>
      <c r="AD20" s="48">
        <f>Assumptions!$C$35</f>
        <v>0.17</v>
      </c>
      <c r="AE20" s="67"/>
      <c r="AF20" s="66">
        <f>Assumptions!$C$35</f>
        <v>0.17</v>
      </c>
      <c r="AG20" s="23"/>
      <c r="AH20" s="48">
        <f>Assumptions!$C$35</f>
        <v>0.17</v>
      </c>
      <c r="AI20" s="67"/>
      <c r="AJ20" s="72">
        <f>Assumptions!$C$35</f>
        <v>0.17</v>
      </c>
    </row>
    <row r="21" spans="1:36" s="22" customFormat="1" x14ac:dyDescent="0.25">
      <c r="A21" s="58"/>
      <c r="B21" s="50" t="s">
        <v>298</v>
      </c>
      <c r="C21" s="63">
        <f ca="1">SUM(C15:C20)</f>
        <v>133104.08238386255</v>
      </c>
      <c r="D21" s="68"/>
      <c r="E21" s="38">
        <f ca="1">SUM(E15:E20)</f>
        <v>126844.51747022837</v>
      </c>
      <c r="F21" s="49"/>
      <c r="G21" s="63">
        <f t="shared" ref="G21" ca="1" si="68">SUM(G15:G20)</f>
        <v>120198.87628949741</v>
      </c>
      <c r="H21" s="68"/>
      <c r="I21" s="38">
        <f t="shared" ref="I21" ca="1" si="69">SUM(I15:I20)</f>
        <v>113143.34650230237</v>
      </c>
      <c r="J21" s="49"/>
      <c r="K21" s="63">
        <f t="shared" ref="K21" ca="1" si="70">SUM(K15:K20)</f>
        <v>105652.64707628834</v>
      </c>
      <c r="L21" s="68"/>
      <c r="M21" s="38">
        <f t="shared" ref="M21" ca="1" si="71">SUM(M15:M20)</f>
        <v>97699.937700343129</v>
      </c>
      <c r="N21" s="49"/>
      <c r="O21" s="63">
        <f t="shared" ref="O21" ca="1" si="72">SUM(O15:O20)</f>
        <v>89256.722611695295</v>
      </c>
      <c r="P21" s="68"/>
      <c r="Q21" s="38">
        <f t="shared" ref="Q21" ca="1" si="73">SUM(Q15:Q20)</f>
        <v>80292.74849127834</v>
      </c>
      <c r="R21" s="49"/>
      <c r="S21" s="63">
        <f t="shared" ref="S21" ca="1" si="74">SUM(S15:S20)</f>
        <v>70775.896061504041</v>
      </c>
      <c r="T21" s="68"/>
      <c r="U21" s="38">
        <f t="shared" ref="U21" ca="1" si="75">SUM(U15:U20)</f>
        <v>60672.064998023947</v>
      </c>
      <c r="V21" s="49"/>
      <c r="W21" s="63">
        <f t="shared" ref="W21" ca="1" si="76">SUM(W15:W20)</f>
        <v>49945.051743099852</v>
      </c>
      <c r="X21" s="68"/>
      <c r="Y21" s="38">
        <f t="shared" ref="Y21" ca="1" si="77">SUM(Y15:Y20)</f>
        <v>38556.41978277055</v>
      </c>
      <c r="Z21" s="49"/>
      <c r="AA21" s="63">
        <f t="shared" ref="AA21" ca="1" si="78">SUM(AA15:AA20)</f>
        <v>26465.361922998025</v>
      </c>
      <c r="AB21" s="68"/>
      <c r="AC21" s="38">
        <f t="shared" ref="AC21" ca="1" si="79">SUM(AC15:AC20)</f>
        <v>13628.554071307677</v>
      </c>
      <c r="AD21" s="49"/>
      <c r="AE21" s="63">
        <f t="shared" ref="AE21" ca="1" si="80">SUM(AE15:AE20)</f>
        <v>0</v>
      </c>
      <c r="AF21" s="68"/>
      <c r="AG21" s="38">
        <f t="shared" ref="AG21" ca="1" si="81">SUM(AG15:AG20)</f>
        <v>0</v>
      </c>
      <c r="AH21" s="49"/>
      <c r="AI21" s="63">
        <f t="shared" ref="AI21" ca="1" si="82">SUM(AI15:AI20)</f>
        <v>0</v>
      </c>
      <c r="AJ21" s="73"/>
    </row>
    <row r="22" spans="1:36" s="22" customFormat="1" x14ac:dyDescent="0.25">
      <c r="A22" s="58"/>
      <c r="B22" s="50"/>
      <c r="C22" s="62"/>
      <c r="D22" s="68"/>
      <c r="E22" s="36"/>
      <c r="F22" s="49"/>
      <c r="G22" s="62"/>
      <c r="H22" s="68"/>
      <c r="I22" s="36"/>
      <c r="J22" s="49"/>
      <c r="K22" s="62"/>
      <c r="L22" s="68"/>
      <c r="M22" s="36"/>
      <c r="N22" s="49"/>
      <c r="O22" s="62"/>
      <c r="P22" s="68"/>
      <c r="Q22" s="36"/>
      <c r="R22" s="49"/>
      <c r="S22" s="62"/>
      <c r="T22" s="68"/>
      <c r="U22" s="36"/>
      <c r="V22" s="49"/>
      <c r="W22" s="62"/>
      <c r="X22" s="68"/>
      <c r="Y22" s="36"/>
      <c r="Z22" s="49"/>
      <c r="AA22" s="62"/>
      <c r="AB22" s="68"/>
      <c r="AC22" s="36"/>
      <c r="AD22" s="49"/>
      <c r="AE22" s="62"/>
      <c r="AF22" s="68"/>
      <c r="AG22" s="36"/>
      <c r="AH22" s="49"/>
      <c r="AI22" s="62"/>
      <c r="AJ22" s="73"/>
    </row>
    <row r="23" spans="1:36" s="22" customFormat="1" x14ac:dyDescent="0.25">
      <c r="A23" s="59"/>
      <c r="B23" s="50" t="s">
        <v>278</v>
      </c>
      <c r="C23" s="206">
        <f ca="1">D16*D17+D19*D20</f>
        <v>0.06</v>
      </c>
      <c r="D23" s="206"/>
      <c r="E23" s="208">
        <f ca="1">F16*F17+F19*F20</f>
        <v>0.06</v>
      </c>
      <c r="F23" s="208"/>
      <c r="G23" s="206">
        <f t="shared" ref="G23" ca="1" si="83">H16*H17+H19*H20</f>
        <v>0.06</v>
      </c>
      <c r="H23" s="206"/>
      <c r="I23" s="208">
        <f t="shared" ref="I23" ca="1" si="84">J16*J17+J19*J20</f>
        <v>0.06</v>
      </c>
      <c r="J23" s="208"/>
      <c r="K23" s="206">
        <f t="shared" ref="K23" ca="1" si="85">L16*L17+L19*L20</f>
        <v>0.06</v>
      </c>
      <c r="L23" s="206"/>
      <c r="M23" s="208">
        <f t="shared" ref="M23" ca="1" si="86">N16*N17+N19*N20</f>
        <v>0.06</v>
      </c>
      <c r="N23" s="208"/>
      <c r="O23" s="206">
        <f t="shared" ref="O23" ca="1" si="87">P16*P17+P19*P20</f>
        <v>0.06</v>
      </c>
      <c r="P23" s="206"/>
      <c r="Q23" s="208">
        <f t="shared" ref="Q23" ca="1" si="88">R16*R17+R19*R20</f>
        <v>0.06</v>
      </c>
      <c r="R23" s="208"/>
      <c r="S23" s="206">
        <f t="shared" ref="S23" ca="1" si="89">T16*T17+T19*T20</f>
        <v>0.06</v>
      </c>
      <c r="T23" s="206"/>
      <c r="U23" s="208">
        <f t="shared" ref="U23" ca="1" si="90">V16*V17+V19*V20</f>
        <v>0.06</v>
      </c>
      <c r="V23" s="208"/>
      <c r="W23" s="206">
        <f t="shared" ref="W23" ca="1" si="91">X16*X17+X19*X20</f>
        <v>0.06</v>
      </c>
      <c r="X23" s="206"/>
      <c r="Y23" s="208">
        <f t="shared" ref="Y23" ca="1" si="92">Z16*Z17+Z19*Z20</f>
        <v>0.06</v>
      </c>
      <c r="Z23" s="208"/>
      <c r="AA23" s="206">
        <f t="shared" ref="AA23" ca="1" si="93">AB16*AB17+AB19*AB20</f>
        <v>0.06</v>
      </c>
      <c r="AB23" s="206"/>
      <c r="AC23" s="208">
        <f t="shared" ref="AC23" ca="1" si="94">AD16*AD17+AD19*AD20</f>
        <v>0.06</v>
      </c>
      <c r="AD23" s="208"/>
      <c r="AE23" s="209">
        <f ca="1">AF16*AF17+AF19*AF20</f>
        <v>0</v>
      </c>
      <c r="AF23" s="206"/>
      <c r="AG23" s="208">
        <f t="shared" ref="AG23" ca="1" si="95">AH16*AH17+AH19*AH20</f>
        <v>0</v>
      </c>
      <c r="AH23" s="208"/>
      <c r="AI23" s="206">
        <f t="shared" ref="AI23" ca="1" si="96">AJ16*AJ17+AJ19*AJ20</f>
        <v>0</v>
      </c>
      <c r="AJ23" s="210"/>
    </row>
    <row r="24" spans="1:36" s="22" customFormat="1" x14ac:dyDescent="0.25">
      <c r="A24" s="59"/>
      <c r="B24" s="50"/>
      <c r="C24" s="62"/>
      <c r="D24" s="68"/>
      <c r="E24" s="36"/>
      <c r="F24" s="49"/>
      <c r="G24" s="62"/>
      <c r="H24" s="68"/>
      <c r="I24" s="36"/>
      <c r="J24" s="49"/>
      <c r="K24" s="62"/>
      <c r="L24" s="68"/>
      <c r="M24" s="36"/>
      <c r="N24" s="49"/>
      <c r="O24" s="62"/>
      <c r="P24" s="68"/>
      <c r="Q24" s="36"/>
      <c r="R24" s="49"/>
      <c r="S24" s="62"/>
      <c r="T24" s="68"/>
      <c r="U24" s="36"/>
      <c r="V24" s="49"/>
      <c r="W24" s="62"/>
      <c r="X24" s="68"/>
      <c r="Y24" s="36"/>
      <c r="Z24" s="49"/>
      <c r="AA24" s="62"/>
      <c r="AB24" s="68"/>
      <c r="AC24" s="36"/>
      <c r="AD24" s="49"/>
      <c r="AE24" s="62"/>
      <c r="AF24" s="68"/>
      <c r="AG24" s="36"/>
      <c r="AH24" s="49"/>
      <c r="AI24" s="62"/>
      <c r="AJ24" s="73"/>
    </row>
    <row r="25" spans="1:36" s="22" customFormat="1" x14ac:dyDescent="0.25">
      <c r="A25" s="58" t="s">
        <v>279</v>
      </c>
      <c r="B25" s="50"/>
      <c r="C25" s="190">
        <f>Assumptions!$C$36</f>
        <v>0.2</v>
      </c>
      <c r="D25" s="190"/>
      <c r="E25" s="207">
        <f>Assumptions!$C$36</f>
        <v>0.2</v>
      </c>
      <c r="F25" s="207"/>
      <c r="G25" s="190">
        <f>Assumptions!$C$36</f>
        <v>0.2</v>
      </c>
      <c r="H25" s="190"/>
      <c r="I25" s="207">
        <f>Assumptions!$C$36</f>
        <v>0.2</v>
      </c>
      <c r="J25" s="207"/>
      <c r="K25" s="190">
        <f>Assumptions!$C$36</f>
        <v>0.2</v>
      </c>
      <c r="L25" s="190"/>
      <c r="M25" s="207">
        <f>Assumptions!$C$36</f>
        <v>0.2</v>
      </c>
      <c r="N25" s="207"/>
      <c r="O25" s="190">
        <f>Assumptions!$C$36</f>
        <v>0.2</v>
      </c>
      <c r="P25" s="190"/>
      <c r="Q25" s="207">
        <f>Assumptions!$C$36</f>
        <v>0.2</v>
      </c>
      <c r="R25" s="207"/>
      <c r="S25" s="190">
        <f>Assumptions!$C$36</f>
        <v>0.2</v>
      </c>
      <c r="T25" s="190"/>
      <c r="U25" s="207">
        <f>Assumptions!$C$36</f>
        <v>0.2</v>
      </c>
      <c r="V25" s="207"/>
      <c r="W25" s="190">
        <f>Assumptions!$C$36</f>
        <v>0.2</v>
      </c>
      <c r="X25" s="190"/>
      <c r="Y25" s="207">
        <f>Assumptions!$C$36</f>
        <v>0.2</v>
      </c>
      <c r="Z25" s="207"/>
      <c r="AA25" s="190">
        <f>Assumptions!$C$36</f>
        <v>0.2</v>
      </c>
      <c r="AB25" s="190"/>
      <c r="AC25" s="207">
        <f>Assumptions!$C$36</f>
        <v>0.2</v>
      </c>
      <c r="AD25" s="207"/>
      <c r="AE25" s="190">
        <f>Assumptions!$C$36</f>
        <v>0.2</v>
      </c>
      <c r="AF25" s="190"/>
      <c r="AG25" s="207">
        <f>Assumptions!$C$36</f>
        <v>0.2</v>
      </c>
      <c r="AH25" s="207"/>
      <c r="AI25" s="190">
        <f>Assumptions!$C$36</f>
        <v>0.2</v>
      </c>
      <c r="AJ25" s="191"/>
    </row>
    <row r="26" spans="1:36" s="22" customFormat="1" x14ac:dyDescent="0.25">
      <c r="A26" s="59"/>
      <c r="B26" s="50"/>
      <c r="C26" s="62"/>
      <c r="D26" s="68"/>
      <c r="E26" s="36"/>
      <c r="F26" s="49"/>
      <c r="G26" s="62"/>
      <c r="H26" s="68"/>
      <c r="I26" s="36"/>
      <c r="J26" s="49"/>
      <c r="K26" s="62"/>
      <c r="L26" s="68"/>
      <c r="M26" s="36"/>
      <c r="N26" s="49"/>
      <c r="O26" s="62"/>
      <c r="P26" s="68"/>
      <c r="Q26" s="36"/>
      <c r="R26" s="49"/>
      <c r="S26" s="62"/>
      <c r="T26" s="68"/>
      <c r="U26" s="36"/>
      <c r="V26" s="49"/>
      <c r="W26" s="62"/>
      <c r="X26" s="68"/>
      <c r="Y26" s="36"/>
      <c r="Z26" s="49"/>
      <c r="AA26" s="62"/>
      <c r="AB26" s="68"/>
      <c r="AC26" s="36"/>
      <c r="AD26" s="49"/>
      <c r="AE26" s="62"/>
      <c r="AF26" s="68"/>
      <c r="AG26" s="36"/>
      <c r="AH26" s="49"/>
      <c r="AI26" s="62"/>
      <c r="AJ26" s="73"/>
    </row>
    <row r="27" spans="1:36" s="22" customFormat="1" x14ac:dyDescent="0.25">
      <c r="A27" s="58" t="s">
        <v>280</v>
      </c>
      <c r="B27" s="50"/>
      <c r="C27" s="62"/>
      <c r="D27" s="68"/>
      <c r="E27" s="36"/>
      <c r="F27" s="49"/>
      <c r="G27" s="62"/>
      <c r="H27" s="68"/>
      <c r="I27" s="36"/>
      <c r="J27" s="49"/>
      <c r="K27" s="62"/>
      <c r="L27" s="68"/>
      <c r="M27" s="36"/>
      <c r="N27" s="49"/>
      <c r="O27" s="62"/>
      <c r="P27" s="68"/>
      <c r="Q27" s="36"/>
      <c r="R27" s="49"/>
      <c r="S27" s="62"/>
      <c r="T27" s="68"/>
      <c r="U27" s="36"/>
      <c r="V27" s="49"/>
      <c r="W27" s="62"/>
      <c r="X27" s="68"/>
      <c r="Y27" s="36"/>
      <c r="Z27" s="49"/>
      <c r="AA27" s="62"/>
      <c r="AB27" s="68"/>
      <c r="AC27" s="36"/>
      <c r="AD27" s="49"/>
      <c r="AE27" s="62"/>
      <c r="AF27" s="68"/>
      <c r="AG27" s="36"/>
      <c r="AH27" s="49"/>
      <c r="AI27" s="62"/>
      <c r="AJ27" s="73"/>
    </row>
    <row r="28" spans="1:36" s="22" customFormat="1" x14ac:dyDescent="0.25">
      <c r="A28" s="59"/>
      <c r="B28" s="50" t="s">
        <v>281</v>
      </c>
      <c r="C28" s="63">
        <f ca="1">C21</f>
        <v>133104.08238386255</v>
      </c>
      <c r="D28" s="68"/>
      <c r="E28" s="38">
        <f ca="1">E21</f>
        <v>126844.51747022837</v>
      </c>
      <c r="F28" s="49"/>
      <c r="G28" s="63">
        <f t="shared" ref="G28" ca="1" si="97">G21</f>
        <v>120198.87628949741</v>
      </c>
      <c r="H28" s="68"/>
      <c r="I28" s="38">
        <f t="shared" ref="I28" ca="1" si="98">I21</f>
        <v>113143.34650230237</v>
      </c>
      <c r="J28" s="49"/>
      <c r="K28" s="63">
        <f t="shared" ref="K28" ca="1" si="99">K21</f>
        <v>105652.64707628834</v>
      </c>
      <c r="L28" s="68"/>
      <c r="M28" s="38">
        <f t="shared" ref="M28" ca="1" si="100">M21</f>
        <v>97699.937700343129</v>
      </c>
      <c r="N28" s="49"/>
      <c r="O28" s="63">
        <f t="shared" ref="O28" ca="1" si="101">O21</f>
        <v>89256.722611695295</v>
      </c>
      <c r="P28" s="68"/>
      <c r="Q28" s="38">
        <f t="shared" ref="Q28" ca="1" si="102">Q21</f>
        <v>80292.74849127834</v>
      </c>
      <c r="R28" s="49"/>
      <c r="S28" s="63">
        <f t="shared" ref="S28" ca="1" si="103">S21</f>
        <v>70775.896061504041</v>
      </c>
      <c r="T28" s="68"/>
      <c r="U28" s="38">
        <f t="shared" ref="U28" ca="1" si="104">U21</f>
        <v>60672.064998023947</v>
      </c>
      <c r="V28" s="49"/>
      <c r="W28" s="63">
        <f t="shared" ref="W28" ca="1" si="105">W21</f>
        <v>49945.051743099852</v>
      </c>
      <c r="X28" s="68"/>
      <c r="Y28" s="38">
        <f t="shared" ref="Y28" ca="1" si="106">Y21</f>
        <v>38556.41978277055</v>
      </c>
      <c r="Z28" s="49"/>
      <c r="AA28" s="63">
        <f t="shared" ref="AA28" ca="1" si="107">AA21</f>
        <v>26465.361922998025</v>
      </c>
      <c r="AB28" s="68"/>
      <c r="AC28" s="38">
        <f t="shared" ref="AC28" ca="1" si="108">AC21</f>
        <v>13628.554071307677</v>
      </c>
      <c r="AD28" s="49"/>
      <c r="AE28" s="63">
        <f t="shared" ref="AE28" ca="1" si="109">AE21</f>
        <v>0</v>
      </c>
      <c r="AF28" s="68"/>
      <c r="AG28" s="38">
        <f t="shared" ref="AG28" ca="1" si="110">AG21</f>
        <v>0</v>
      </c>
      <c r="AH28" s="49"/>
      <c r="AI28" s="63">
        <f t="shared" ref="AI28" ca="1" si="111">AI21</f>
        <v>0</v>
      </c>
      <c r="AJ28" s="73"/>
    </row>
    <row r="29" spans="1:36" s="22" customFormat="1" hidden="1" x14ac:dyDescent="0.25">
      <c r="A29" s="59"/>
      <c r="B29" s="51" t="s">
        <v>299</v>
      </c>
      <c r="C29" s="62"/>
      <c r="D29" s="64">
        <f ca="1">C28/C34</f>
        <v>0.55533989179885335</v>
      </c>
      <c r="E29" s="36"/>
      <c r="F29" s="47">
        <f ca="1">E28/E34</f>
        <v>0.53928254766884665</v>
      </c>
      <c r="G29" s="62"/>
      <c r="H29" s="64">
        <f t="shared" ref="H29" ca="1" si="112">G28/G34</f>
        <v>0.52153820412671492</v>
      </c>
      <c r="I29" s="36"/>
      <c r="J29" s="47">
        <f t="shared" ref="J29" ca="1" si="113">I28/I34</f>
        <v>0.50186728557465143</v>
      </c>
      <c r="K29" s="62"/>
      <c r="L29" s="64">
        <f t="shared" ref="L29" ca="1" si="114">K28/K34</f>
        <v>0.47998388220480609</v>
      </c>
      <c r="M29" s="36"/>
      <c r="N29" s="47">
        <f t="shared" ref="N29" ca="1" si="115">M28/M34</f>
        <v>0.45554398079117953</v>
      </c>
      <c r="O29" s="62"/>
      <c r="P29" s="64">
        <f t="shared" ref="P29" ca="1" si="116">O28/O34</f>
        <v>0.42812991346188495</v>
      </c>
      <c r="Q29" s="36"/>
      <c r="R29" s="47">
        <f t="shared" ref="R29" ca="1" si="117">Q28/Q34</f>
        <v>0.39722952625945385</v>
      </c>
      <c r="S29" s="62"/>
      <c r="T29" s="64">
        <f t="shared" ref="T29" ca="1" si="118">S28/S34</f>
        <v>0.36220785035422526</v>
      </c>
      <c r="U29" s="36"/>
      <c r="V29" s="47">
        <f t="shared" ref="V29" ca="1" si="119">U28/U34</f>
        <v>0.32226792694032386</v>
      </c>
      <c r="W29" s="62"/>
      <c r="X29" s="64">
        <f t="shared" ref="X29" ca="1" si="120">W28/W34</f>
        <v>0.2763956106822319</v>
      </c>
      <c r="Y29" s="36"/>
      <c r="Z29" s="47">
        <f t="shared" ref="Z29" ca="1" si="121">Y28/Y34</f>
        <v>0.22328014821341852</v>
      </c>
      <c r="AA29" s="62"/>
      <c r="AB29" s="64">
        <f t="shared" ref="AB29" ca="1" si="122">AA28/AA34</f>
        <v>0.16119714883877329</v>
      </c>
      <c r="AC29" s="36"/>
      <c r="AD29" s="47">
        <f t="shared" ref="AD29" ca="1" si="123">AC28/AC34</f>
        <v>8.783139125818365E-2</v>
      </c>
      <c r="AE29" s="62"/>
      <c r="AF29" s="64">
        <f t="shared" ref="AF29" ca="1" si="124">AE28/AE34</f>
        <v>0</v>
      </c>
      <c r="AG29" s="36"/>
      <c r="AH29" s="47">
        <f t="shared" ref="AH29" ca="1" si="125">AG28/AG34</f>
        <v>0</v>
      </c>
      <c r="AI29" s="62"/>
      <c r="AJ29" s="71">
        <f t="shared" ref="AJ29" ca="1" si="126">AI28/AI34</f>
        <v>0</v>
      </c>
    </row>
    <row r="30" spans="1:36" s="22" customFormat="1" hidden="1" x14ac:dyDescent="0.25">
      <c r="A30" s="59"/>
      <c r="B30" s="51" t="s">
        <v>300</v>
      </c>
      <c r="C30" s="62"/>
      <c r="D30" s="64">
        <f ca="1">C23</f>
        <v>0.06</v>
      </c>
      <c r="E30" s="36"/>
      <c r="F30" s="47">
        <f ca="1">E23</f>
        <v>0.06</v>
      </c>
      <c r="G30" s="62"/>
      <c r="H30" s="64">
        <f t="shared" ref="H30" ca="1" si="127">G23</f>
        <v>0.06</v>
      </c>
      <c r="I30" s="36"/>
      <c r="J30" s="47">
        <f t="shared" ref="J30" ca="1" si="128">I23</f>
        <v>0.06</v>
      </c>
      <c r="K30" s="62"/>
      <c r="L30" s="64">
        <f t="shared" ref="L30" ca="1" si="129">K23</f>
        <v>0.06</v>
      </c>
      <c r="M30" s="36"/>
      <c r="N30" s="47">
        <f t="shared" ref="N30" ca="1" si="130">M23</f>
        <v>0.06</v>
      </c>
      <c r="O30" s="62"/>
      <c r="P30" s="64">
        <f t="shared" ref="P30" ca="1" si="131">O23</f>
        <v>0.06</v>
      </c>
      <c r="Q30" s="36"/>
      <c r="R30" s="47">
        <f t="shared" ref="R30" ca="1" si="132">Q23</f>
        <v>0.06</v>
      </c>
      <c r="S30" s="62"/>
      <c r="T30" s="64">
        <f t="shared" ref="T30" ca="1" si="133">S23</f>
        <v>0.06</v>
      </c>
      <c r="U30" s="36"/>
      <c r="V30" s="47">
        <f t="shared" ref="V30" ca="1" si="134">U23</f>
        <v>0.06</v>
      </c>
      <c r="W30" s="62"/>
      <c r="X30" s="64">
        <f t="shared" ref="X30" ca="1" si="135">W23</f>
        <v>0.06</v>
      </c>
      <c r="Y30" s="36"/>
      <c r="Z30" s="47">
        <f t="shared" ref="Z30" ca="1" si="136">Y23</f>
        <v>0.06</v>
      </c>
      <c r="AA30" s="62"/>
      <c r="AB30" s="64">
        <f t="shared" ref="AB30" ca="1" si="137">AA23</f>
        <v>0.06</v>
      </c>
      <c r="AC30" s="36"/>
      <c r="AD30" s="47">
        <f t="shared" ref="AD30" ca="1" si="138">AC23</f>
        <v>0.06</v>
      </c>
      <c r="AE30" s="62"/>
      <c r="AF30" s="64">
        <f t="shared" ref="AF30" ca="1" si="139">AE23</f>
        <v>0</v>
      </c>
      <c r="AG30" s="36"/>
      <c r="AH30" s="47">
        <f t="shared" ref="AH30" ca="1" si="140">AG23</f>
        <v>0</v>
      </c>
      <c r="AI30" s="62"/>
      <c r="AJ30" s="71">
        <f t="shared" ref="AJ30" ca="1" si="141">AI23</f>
        <v>0</v>
      </c>
    </row>
    <row r="31" spans="1:36" s="22" customFormat="1" x14ac:dyDescent="0.25">
      <c r="A31" s="59"/>
      <c r="B31" s="50" t="s">
        <v>115</v>
      </c>
      <c r="C31" s="65">
        <f ca="1">'Financial Statements'!D49+'Financial Statements'!D50</f>
        <v>106576.30857943144</v>
      </c>
      <c r="D31" s="66"/>
      <c r="E31" s="53">
        <f ca="1">'Financial Statements'!G49+'Financial Statements'!G50</f>
        <v>108365.24041742882</v>
      </c>
      <c r="F31" s="48"/>
      <c r="G31" s="65">
        <f ca="1">+'Financial Statements'!J49+'Financial Statements'!J50</f>
        <v>110271.05925580622</v>
      </c>
      <c r="H31" s="66"/>
      <c r="I31" s="53">
        <f ca="1">+'Financial Statements'!M49+'Financial Statements'!M50</f>
        <v>112301.40702999894</v>
      </c>
      <c r="J31" s="48"/>
      <c r="K31" s="65">
        <f ca="1">+'Financial Statements'!P49+'Financial Statements'!P50</f>
        <v>114464.42558659542</v>
      </c>
      <c r="L31" s="66"/>
      <c r="M31" s="53">
        <f ca="1">+'Financial Statements'!S49+'Financial Statements'!S50</f>
        <v>116768.78940402968</v>
      </c>
      <c r="N31" s="48"/>
      <c r="O31" s="65">
        <f ca="1">+'Financial Statements'!V49+'Financial Statements'!V50</f>
        <v>119223.74045606822</v>
      </c>
      <c r="P31" s="66"/>
      <c r="Q31" s="53">
        <f ca="1">+'Financial Statements'!Y49+'Financial Statements'!Y50</f>
        <v>121839.12535848793</v>
      </c>
      <c r="R31" s="48"/>
      <c r="S31" s="65">
        <f ca="1">+'Financial Statements'!AB49+'Financial Statements'!AB50</f>
        <v>124625.43494854434</v>
      </c>
      <c r="T31" s="66"/>
      <c r="U31" s="53">
        <f ca="1">+'Financial Statements'!AE49+'Financial Statements'!AE50</f>
        <v>127593.84645663635</v>
      </c>
      <c r="V31" s="48"/>
      <c r="W31" s="65">
        <f ca="1">+'Financial Statements'!AH49+'Financial Statements'!AH50</f>
        <v>130756.26844002336</v>
      </c>
      <c r="X31" s="66"/>
      <c r="Y31" s="53">
        <f ca="1">+'Financial Statements'!AK49+'Financial Statements'!AK50</f>
        <v>134125.38865958614</v>
      </c>
      <c r="Z31" s="48"/>
      <c r="AA31" s="65">
        <f ca="1">+'Financial Statements'!AN49+'Financial Statements'!AN50</f>
        <v>137714.72509248782</v>
      </c>
      <c r="AB31" s="66"/>
      <c r="AC31" s="53">
        <f ca="1">+'Financial Statements'!AQ49+'Financial Statements'!AQ50</f>
        <v>141538.68028623579</v>
      </c>
      <c r="AD31" s="48"/>
      <c r="AE31" s="65">
        <f ca="1">+'Financial Statements'!AT49+'Financial Statements'!AT50</f>
        <v>145612.59927311743</v>
      </c>
      <c r="AF31" s="66"/>
      <c r="AG31" s="53">
        <f ca="1">+'Financial Statements'!AW49+'Financial Statements'!AW50</f>
        <v>149637.95001957659</v>
      </c>
      <c r="AH31" s="48"/>
      <c r="AI31" s="65">
        <f ca="1">+'Financial Statements'!AZ49+'Financial Statements'!AZ50</f>
        <v>157755.17292626094</v>
      </c>
      <c r="AJ31" s="72"/>
    </row>
    <row r="32" spans="1:36" hidden="1" x14ac:dyDescent="0.25">
      <c r="A32" s="56"/>
      <c r="B32" s="52" t="s">
        <v>299</v>
      </c>
      <c r="C32" s="62"/>
      <c r="D32" s="64">
        <f ca="1">C31/C34</f>
        <v>0.44466010820114665</v>
      </c>
      <c r="F32" s="44">
        <f ca="1">E31/E34</f>
        <v>0.4607174523311533</v>
      </c>
      <c r="G32" s="62"/>
      <c r="H32" s="64">
        <f t="shared" ref="H32" ca="1" si="142">G31/G34</f>
        <v>0.47846179587328502</v>
      </c>
      <c r="J32" s="44">
        <f t="shared" ref="J32" ca="1" si="143">I31/I34</f>
        <v>0.49813271442534857</v>
      </c>
      <c r="K32" s="62"/>
      <c r="L32" s="64">
        <f t="shared" ref="L32" ca="1" si="144">K31/K34</f>
        <v>0.52001611779519397</v>
      </c>
      <c r="N32" s="44">
        <f t="shared" ref="N32" ca="1" si="145">M31/M34</f>
        <v>0.54445601920882047</v>
      </c>
      <c r="O32" s="62"/>
      <c r="P32" s="64">
        <f t="shared" ref="P32" ca="1" si="146">O31/O34</f>
        <v>0.571870086538115</v>
      </c>
      <c r="R32" s="44">
        <f t="shared" ref="R32" ca="1" si="147">Q31/Q34</f>
        <v>0.60277047374054615</v>
      </c>
      <c r="S32" s="62"/>
      <c r="T32" s="64">
        <f t="shared" ref="T32" ca="1" si="148">S31/S34</f>
        <v>0.63779214964577469</v>
      </c>
      <c r="V32" s="44">
        <f t="shared" ref="V32" ca="1" si="149">U31/U34</f>
        <v>0.6777320730596762</v>
      </c>
      <c r="W32" s="62"/>
      <c r="X32" s="64">
        <f t="shared" ref="X32" ca="1" si="150">W31/W34</f>
        <v>0.72360438931776816</v>
      </c>
      <c r="Z32" s="44">
        <f t="shared" ref="Z32" ca="1" si="151">Y31/Y34</f>
        <v>0.77671985178658143</v>
      </c>
      <c r="AA32" s="62"/>
      <c r="AB32" s="64">
        <f t="shared" ref="AB32" ca="1" si="152">AA31/AA34</f>
        <v>0.83880285116122666</v>
      </c>
      <c r="AD32" s="44">
        <f t="shared" ref="AD32" ca="1" si="153">AC31/AC34</f>
        <v>0.91216860874181638</v>
      </c>
      <c r="AE32" s="62"/>
      <c r="AF32" s="64">
        <f t="shared" ref="AF32" ca="1" si="154">AE31/AE34</f>
        <v>1</v>
      </c>
      <c r="AH32" s="44">
        <f t="shared" ref="AH32" ca="1" si="155">AG31/AG34</f>
        <v>1</v>
      </c>
      <c r="AI32" s="62"/>
      <c r="AJ32" s="71">
        <f t="shared" ref="AJ32" ca="1" si="156">AI31/AI34</f>
        <v>1</v>
      </c>
    </row>
    <row r="33" spans="1:55" hidden="1" x14ac:dyDescent="0.25">
      <c r="A33" s="56"/>
      <c r="B33" s="52" t="s">
        <v>300</v>
      </c>
      <c r="C33" s="67"/>
      <c r="D33" s="66">
        <f>C10</f>
        <v>0.1167</v>
      </c>
      <c r="E33" s="11"/>
      <c r="F33" s="25">
        <f>E10</f>
        <v>0.1167</v>
      </c>
      <c r="G33" s="67"/>
      <c r="H33" s="66">
        <f t="shared" ref="H33" si="157">G10</f>
        <v>0.1167</v>
      </c>
      <c r="I33" s="11"/>
      <c r="J33" s="25">
        <f t="shared" ref="J33" si="158">I10</f>
        <v>0.1167</v>
      </c>
      <c r="K33" s="67"/>
      <c r="L33" s="66">
        <f t="shared" ref="L33" si="159">K10</f>
        <v>0.1167</v>
      </c>
      <c r="M33" s="11"/>
      <c r="N33" s="25">
        <f t="shared" ref="N33" si="160">M10</f>
        <v>0.1167</v>
      </c>
      <c r="O33" s="67"/>
      <c r="P33" s="66">
        <f t="shared" ref="P33" si="161">O10</f>
        <v>0.1167</v>
      </c>
      <c r="Q33" s="11"/>
      <c r="R33" s="25">
        <f t="shared" ref="R33" si="162">Q10</f>
        <v>0.1167</v>
      </c>
      <c r="S33" s="67"/>
      <c r="T33" s="66">
        <f t="shared" ref="T33" si="163">S10</f>
        <v>0.1167</v>
      </c>
      <c r="U33" s="11"/>
      <c r="V33" s="25">
        <f t="shared" ref="V33" si="164">U10</f>
        <v>0.1167</v>
      </c>
      <c r="W33" s="67"/>
      <c r="X33" s="66">
        <f t="shared" ref="X33" si="165">W10</f>
        <v>0.1167</v>
      </c>
      <c r="Y33" s="11"/>
      <c r="Z33" s="25">
        <f t="shared" ref="Z33" si="166">Y10</f>
        <v>0.1167</v>
      </c>
      <c r="AA33" s="67"/>
      <c r="AB33" s="66">
        <f t="shared" ref="AB33" si="167">AA10</f>
        <v>0.1167</v>
      </c>
      <c r="AC33" s="11"/>
      <c r="AD33" s="25">
        <f t="shared" ref="AD33" si="168">AC10</f>
        <v>0.1167</v>
      </c>
      <c r="AE33" s="67"/>
      <c r="AF33" s="66">
        <f t="shared" ref="AF33" si="169">AE10</f>
        <v>0.1167</v>
      </c>
      <c r="AG33" s="11"/>
      <c r="AH33" s="25">
        <f t="shared" ref="AH33" si="170">AG10</f>
        <v>0.1167</v>
      </c>
      <c r="AI33" s="67"/>
      <c r="AJ33" s="72">
        <f t="shared" ref="AJ33" si="171">AI10</f>
        <v>0.1167</v>
      </c>
    </row>
    <row r="34" spans="1:55" x14ac:dyDescent="0.25">
      <c r="A34" s="56"/>
      <c r="B34" s="45" t="s">
        <v>301</v>
      </c>
      <c r="C34" s="63">
        <f ca="1">SUM(C28:C33)</f>
        <v>239680.39096329399</v>
      </c>
      <c r="D34" s="62"/>
      <c r="E34" s="32">
        <f ca="1">SUM(E28:E33)</f>
        <v>235209.75788765721</v>
      </c>
      <c r="G34" s="63">
        <f t="shared" ref="G34" ca="1" si="172">SUM(G28:G33)</f>
        <v>230469.93554530363</v>
      </c>
      <c r="H34" s="62"/>
      <c r="I34" s="32">
        <f t="shared" ref="I34" ca="1" si="173">SUM(I28:I33)</f>
        <v>225444.75353230131</v>
      </c>
      <c r="K34" s="63">
        <f t="shared" ref="K34" ca="1" si="174">SUM(K28:K33)</f>
        <v>220117.07266288376</v>
      </c>
      <c r="L34" s="62"/>
      <c r="M34" s="32">
        <f t="shared" ref="M34" ca="1" si="175">SUM(M28:M33)</f>
        <v>214468.72710437281</v>
      </c>
      <c r="O34" s="63">
        <f t="shared" ref="O34" ca="1" si="176">SUM(O28:O33)</f>
        <v>208480.46306776351</v>
      </c>
      <c r="P34" s="62"/>
      <c r="Q34" s="32">
        <f t="shared" ref="Q34" ca="1" si="177">SUM(Q28:Q33)</f>
        <v>202131.87384976627</v>
      </c>
      <c r="S34" s="63">
        <f t="shared" ref="S34" ca="1" si="178">SUM(S28:S33)</f>
        <v>195401.33101004839</v>
      </c>
      <c r="T34" s="62"/>
      <c r="U34" s="32">
        <f t="shared" ref="U34" ca="1" si="179">SUM(U28:U33)</f>
        <v>188265.91145466029</v>
      </c>
      <c r="W34" s="63">
        <f t="shared" ref="W34" ca="1" si="180">SUM(W28:W33)</f>
        <v>180701.3201831232</v>
      </c>
      <c r="X34" s="62"/>
      <c r="Y34" s="32">
        <f t="shared" ref="Y34" ca="1" si="181">SUM(Y28:Y33)</f>
        <v>172681.80844235671</v>
      </c>
      <c r="AA34" s="63">
        <f t="shared" ref="AA34" ca="1" si="182">SUM(AA28:AA33)</f>
        <v>164180.08701548586</v>
      </c>
      <c r="AB34" s="62"/>
      <c r="AC34" s="32">
        <f t="shared" ref="AC34" ca="1" si="183">SUM(AC28:AC33)</f>
        <v>155167.23435754346</v>
      </c>
      <c r="AE34" s="63">
        <f t="shared" ref="AE34" ca="1" si="184">SUM(AE28:AE33)</f>
        <v>145612.59927311743</v>
      </c>
      <c r="AF34" s="62"/>
      <c r="AG34" s="32">
        <f t="shared" ref="AG34" ca="1" si="185">SUM(AG28:AG33)</f>
        <v>149637.95001957659</v>
      </c>
      <c r="AI34" s="63">
        <f t="shared" ref="AI34" ca="1" si="186">SUM(AI28:AI33)</f>
        <v>157755.17292626094</v>
      </c>
      <c r="AJ34" s="69"/>
    </row>
    <row r="35" spans="1:55" x14ac:dyDescent="0.25">
      <c r="A35" s="56"/>
      <c r="B35" s="45"/>
      <c r="C35" s="62"/>
      <c r="D35" s="62"/>
      <c r="G35" s="62"/>
      <c r="H35" s="62"/>
      <c r="K35" s="62"/>
      <c r="L35" s="62"/>
      <c r="O35" s="62"/>
      <c r="P35" s="62"/>
      <c r="S35" s="62"/>
      <c r="T35" s="62"/>
      <c r="W35" s="62"/>
      <c r="X35" s="62"/>
      <c r="AA35" s="62"/>
      <c r="AB35" s="62"/>
      <c r="AE35" s="62"/>
      <c r="AF35" s="62"/>
      <c r="AI35" s="62"/>
      <c r="AJ35" s="69"/>
    </row>
    <row r="36" spans="1:55" x14ac:dyDescent="0.25">
      <c r="A36" s="56"/>
      <c r="B36" s="45" t="s">
        <v>282</v>
      </c>
      <c r="C36" s="216">
        <f>C45</f>
        <v>0.97</v>
      </c>
      <c r="D36" s="216"/>
      <c r="E36" s="201">
        <f>C36</f>
        <v>0.97</v>
      </c>
      <c r="F36" s="201"/>
      <c r="G36" s="199">
        <f>E36</f>
        <v>0.97</v>
      </c>
      <c r="H36" s="199"/>
      <c r="I36" s="201">
        <f t="shared" ref="I36" si="187">G36</f>
        <v>0.97</v>
      </c>
      <c r="J36" s="201"/>
      <c r="K36" s="199">
        <f t="shared" ref="K36" si="188">I36</f>
        <v>0.97</v>
      </c>
      <c r="L36" s="199"/>
      <c r="M36" s="201">
        <f t="shared" ref="M36" si="189">K36</f>
        <v>0.97</v>
      </c>
      <c r="N36" s="201"/>
      <c r="O36" s="199">
        <f t="shared" ref="O36" si="190">M36</f>
        <v>0.97</v>
      </c>
      <c r="P36" s="199"/>
      <c r="Q36" s="201">
        <f t="shared" ref="Q36" si="191">O36</f>
        <v>0.97</v>
      </c>
      <c r="R36" s="201"/>
      <c r="S36" s="199">
        <f t="shared" ref="S36" si="192">Q36</f>
        <v>0.97</v>
      </c>
      <c r="T36" s="199"/>
      <c r="U36" s="201">
        <f t="shared" ref="U36" si="193">S36</f>
        <v>0.97</v>
      </c>
      <c r="V36" s="201"/>
      <c r="W36" s="199">
        <f t="shared" ref="W36" si="194">U36</f>
        <v>0.97</v>
      </c>
      <c r="X36" s="199"/>
      <c r="Y36" s="201">
        <f t="shared" ref="Y36" si="195">W36</f>
        <v>0.97</v>
      </c>
      <c r="Z36" s="201"/>
      <c r="AA36" s="199">
        <f t="shared" ref="AA36" si="196">Y36</f>
        <v>0.97</v>
      </c>
      <c r="AB36" s="199"/>
      <c r="AC36" s="201">
        <f t="shared" ref="AC36" si="197">AA36</f>
        <v>0.97</v>
      </c>
      <c r="AD36" s="201"/>
      <c r="AE36" s="199">
        <f t="shared" ref="AE36" si="198">AC36</f>
        <v>0.97</v>
      </c>
      <c r="AF36" s="199"/>
      <c r="AG36" s="201">
        <f t="shared" ref="AG36" si="199">AE36</f>
        <v>0.97</v>
      </c>
      <c r="AH36" s="201"/>
      <c r="AI36" s="199">
        <f t="shared" ref="AI36" si="200">AG36</f>
        <v>0.97</v>
      </c>
      <c r="AJ36" s="200"/>
    </row>
    <row r="37" spans="1:55" x14ac:dyDescent="0.25">
      <c r="A37" s="56"/>
      <c r="B37" s="45" t="s">
        <v>283</v>
      </c>
      <c r="C37" s="190">
        <f ca="1">D29</f>
        <v>0.55533989179885335</v>
      </c>
      <c r="D37" s="190"/>
      <c r="E37" s="195">
        <f ca="1">F29</f>
        <v>0.53928254766884665</v>
      </c>
      <c r="F37" s="195"/>
      <c r="G37" s="190">
        <f t="shared" ref="G37" ca="1" si="201">H29</f>
        <v>0.52153820412671492</v>
      </c>
      <c r="H37" s="190"/>
      <c r="I37" s="195">
        <f t="shared" ref="I37" ca="1" si="202">J29</f>
        <v>0.50186728557465143</v>
      </c>
      <c r="J37" s="195"/>
      <c r="K37" s="190">
        <f t="shared" ref="K37" ca="1" si="203">L29</f>
        <v>0.47998388220480609</v>
      </c>
      <c r="L37" s="190"/>
      <c r="M37" s="195">
        <f t="shared" ref="M37" ca="1" si="204">N29</f>
        <v>0.45554398079117953</v>
      </c>
      <c r="N37" s="195"/>
      <c r="O37" s="190">
        <f t="shared" ref="O37" ca="1" si="205">P29</f>
        <v>0.42812991346188495</v>
      </c>
      <c r="P37" s="190"/>
      <c r="Q37" s="195">
        <f t="shared" ref="Q37" ca="1" si="206">R29</f>
        <v>0.39722952625945385</v>
      </c>
      <c r="R37" s="195"/>
      <c r="S37" s="190">
        <f t="shared" ref="S37" ca="1" si="207">T29</f>
        <v>0.36220785035422526</v>
      </c>
      <c r="T37" s="190"/>
      <c r="U37" s="195">
        <f t="shared" ref="U37" ca="1" si="208">V29</f>
        <v>0.32226792694032386</v>
      </c>
      <c r="V37" s="195"/>
      <c r="W37" s="190">
        <f t="shared" ref="W37" ca="1" si="209">X29</f>
        <v>0.2763956106822319</v>
      </c>
      <c r="X37" s="190"/>
      <c r="Y37" s="195">
        <f t="shared" ref="Y37" ca="1" si="210">Z29</f>
        <v>0.22328014821341852</v>
      </c>
      <c r="Z37" s="195"/>
      <c r="AA37" s="190">
        <f t="shared" ref="AA37" ca="1" si="211">AB29</f>
        <v>0.16119714883877329</v>
      </c>
      <c r="AB37" s="190"/>
      <c r="AC37" s="195">
        <f t="shared" ref="AC37" ca="1" si="212">AD29</f>
        <v>8.783139125818365E-2</v>
      </c>
      <c r="AD37" s="195"/>
      <c r="AE37" s="190">
        <f t="shared" ref="AE37" ca="1" si="213">AF29</f>
        <v>0</v>
      </c>
      <c r="AF37" s="190"/>
      <c r="AG37" s="195">
        <f t="shared" ref="AG37" ca="1" si="214">AH29</f>
        <v>0</v>
      </c>
      <c r="AH37" s="195"/>
      <c r="AI37" s="190">
        <f t="shared" ref="AI37" ca="1" si="215">AJ29</f>
        <v>0</v>
      </c>
      <c r="AJ37" s="191"/>
    </row>
    <row r="38" spans="1:55" x14ac:dyDescent="0.25">
      <c r="A38" s="56"/>
      <c r="B38" s="45" t="s">
        <v>284</v>
      </c>
      <c r="C38" s="190">
        <f ca="1">D32</f>
        <v>0.44466010820114665</v>
      </c>
      <c r="D38" s="190"/>
      <c r="E38" s="195">
        <f ca="1">F32</f>
        <v>0.4607174523311533</v>
      </c>
      <c r="F38" s="195"/>
      <c r="G38" s="190">
        <f t="shared" ref="G38" ca="1" si="216">H32</f>
        <v>0.47846179587328502</v>
      </c>
      <c r="H38" s="190"/>
      <c r="I38" s="195">
        <f t="shared" ref="I38" ca="1" si="217">J32</f>
        <v>0.49813271442534857</v>
      </c>
      <c r="J38" s="195"/>
      <c r="K38" s="190">
        <f t="shared" ref="K38" ca="1" si="218">L32</f>
        <v>0.52001611779519397</v>
      </c>
      <c r="L38" s="190"/>
      <c r="M38" s="195">
        <f t="shared" ref="M38" ca="1" si="219">N32</f>
        <v>0.54445601920882047</v>
      </c>
      <c r="N38" s="195"/>
      <c r="O38" s="190">
        <f t="shared" ref="O38" ca="1" si="220">P32</f>
        <v>0.571870086538115</v>
      </c>
      <c r="P38" s="190"/>
      <c r="Q38" s="195">
        <f t="shared" ref="Q38" ca="1" si="221">R32</f>
        <v>0.60277047374054615</v>
      </c>
      <c r="R38" s="195"/>
      <c r="S38" s="190">
        <f t="shared" ref="S38" ca="1" si="222">T32</f>
        <v>0.63779214964577469</v>
      </c>
      <c r="T38" s="190"/>
      <c r="U38" s="195">
        <f t="shared" ref="U38" ca="1" si="223">V32</f>
        <v>0.6777320730596762</v>
      </c>
      <c r="V38" s="195"/>
      <c r="W38" s="190">
        <f t="shared" ref="W38" ca="1" si="224">X32</f>
        <v>0.72360438931776816</v>
      </c>
      <c r="X38" s="190"/>
      <c r="Y38" s="195">
        <f t="shared" ref="Y38" ca="1" si="225">Z32</f>
        <v>0.77671985178658143</v>
      </c>
      <c r="Z38" s="195"/>
      <c r="AA38" s="190">
        <f t="shared" ref="AA38" ca="1" si="226">AB32</f>
        <v>0.83880285116122666</v>
      </c>
      <c r="AB38" s="190"/>
      <c r="AC38" s="195">
        <f t="shared" ref="AC38" ca="1" si="227">AD32</f>
        <v>0.91216860874181638</v>
      </c>
      <c r="AD38" s="195"/>
      <c r="AE38" s="190">
        <f t="shared" ref="AE38" ca="1" si="228">AF32</f>
        <v>1</v>
      </c>
      <c r="AF38" s="190"/>
      <c r="AG38" s="195">
        <f t="shared" ref="AG38" ca="1" si="229">AH32</f>
        <v>1</v>
      </c>
      <c r="AH38" s="195"/>
      <c r="AI38" s="190">
        <f t="shared" ref="AI38" ca="1" si="230">AJ32</f>
        <v>1</v>
      </c>
      <c r="AJ38" s="191"/>
    </row>
    <row r="39" spans="1:55" x14ac:dyDescent="0.25">
      <c r="A39" s="56"/>
      <c r="B39" s="45"/>
      <c r="C39" s="62"/>
      <c r="D39" s="62"/>
      <c r="G39" s="62"/>
      <c r="H39" s="62"/>
      <c r="K39" s="62"/>
      <c r="L39" s="62"/>
      <c r="O39" s="62"/>
      <c r="P39" s="62"/>
      <c r="S39" s="62"/>
      <c r="T39" s="62"/>
      <c r="W39" s="62"/>
      <c r="X39" s="62"/>
      <c r="AA39" s="62"/>
      <c r="AB39" s="62"/>
      <c r="AE39" s="62"/>
      <c r="AF39" s="62"/>
      <c r="AI39" s="62"/>
      <c r="AJ39" s="69"/>
    </row>
    <row r="40" spans="1:55" x14ac:dyDescent="0.25">
      <c r="A40" s="57" t="s">
        <v>285</v>
      </c>
      <c r="B40" s="45"/>
      <c r="C40" s="190">
        <f ca="1">C37*(1-C25)*D30+C38*D33</f>
        <v>7.8548149433418771E-2</v>
      </c>
      <c r="D40" s="190"/>
      <c r="E40" s="195">
        <f ca="1">E37*(1-E25)*F30+E38*F33</f>
        <v>7.9651288975150225E-2</v>
      </c>
      <c r="F40" s="195"/>
      <c r="G40" s="190">
        <f t="shared" ref="G40" ca="1" si="231">G37*(1-G25)*H30+G38*H33</f>
        <v>8.0870325376494676E-2</v>
      </c>
      <c r="H40" s="190"/>
      <c r="I40" s="195">
        <f t="shared" ref="I40" ca="1" si="232">I37*(1-I25)*J30+I38*J33</f>
        <v>8.2221717481021445E-2</v>
      </c>
      <c r="J40" s="195"/>
      <c r="K40" s="190">
        <f t="shared" ref="K40" ca="1" si="233">K37*(1-K25)*L30+K38*L33</f>
        <v>8.3725107292529827E-2</v>
      </c>
      <c r="L40" s="190"/>
      <c r="M40" s="195">
        <f t="shared" ref="M40" ca="1" si="234">M37*(1-M25)*N30+M38*N33</f>
        <v>8.5404128519645961E-2</v>
      </c>
      <c r="N40" s="195"/>
      <c r="O40" s="190">
        <f t="shared" ref="O40" ca="1" si="235">O37*(1-O25)*P30+O38*P33</f>
        <v>8.7287474945168503E-2</v>
      </c>
      <c r="P40" s="190"/>
      <c r="Q40" s="195">
        <f t="shared" ref="Q40" ca="1" si="236">Q37*(1-Q25)*R30+Q38*R33</f>
        <v>8.9410331545975524E-2</v>
      </c>
      <c r="R40" s="195"/>
      <c r="S40" s="190">
        <f t="shared" ref="S40" ca="1" si="237">S37*(1-S25)*T30+S38*T33</f>
        <v>9.1816320680664712E-2</v>
      </c>
      <c r="T40" s="190"/>
      <c r="U40" s="195">
        <f t="shared" ref="U40" ca="1" si="238">U37*(1-U25)*V30+U38*V33</f>
        <v>9.4560193419199759E-2</v>
      </c>
      <c r="V40" s="195"/>
      <c r="W40" s="190">
        <f t="shared" ref="W40" ca="1" si="239">W37*(1-W25)*X30+W38*X33</f>
        <v>9.7711621546130667E-2</v>
      </c>
      <c r="X40" s="190"/>
      <c r="Y40" s="195">
        <f t="shared" ref="Y40" ca="1" si="240">Y37*(1-Y25)*Z30+Y38*Z33</f>
        <v>0.10136065381773814</v>
      </c>
      <c r="Z40" s="195"/>
      <c r="AA40" s="190">
        <f t="shared" ref="AA40" ca="1" si="241">AA37*(1-AA25)*AB30+AA38*AB33</f>
        <v>0.10562575587477627</v>
      </c>
      <c r="AB40" s="190"/>
      <c r="AC40" s="195">
        <f t="shared" ref="AC40" ca="1" si="242">AC37*(1-AC25)*AD30+AC38*AD33</f>
        <v>0.11066598342056277</v>
      </c>
      <c r="AD40" s="195"/>
      <c r="AE40" s="206">
        <f ca="1">AE37*(1-AE25)*AF30+AE38*AF33</f>
        <v>0.1167</v>
      </c>
      <c r="AF40" s="206"/>
      <c r="AG40" s="195">
        <f t="shared" ref="AG40" ca="1" si="243">AG37*(1-AG25)*AH30+AG38*AH33</f>
        <v>0.1167</v>
      </c>
      <c r="AH40" s="195"/>
      <c r="AI40" s="190">
        <f t="shared" ref="AI40" ca="1" si="244">AI37*(1-AI25)*AJ30+AI38*AJ33</f>
        <v>0.1167</v>
      </c>
      <c r="AJ40" s="191"/>
    </row>
    <row r="41" spans="1:55" s="11" customFormat="1" x14ac:dyDescent="0.25">
      <c r="A41" s="60"/>
      <c r="B41" s="46"/>
      <c r="C41" s="67"/>
      <c r="D41" s="67"/>
      <c r="G41" s="67"/>
      <c r="H41" s="67"/>
      <c r="K41" s="67"/>
      <c r="L41" s="67"/>
      <c r="O41" s="67"/>
      <c r="P41" s="67"/>
      <c r="S41" s="67"/>
      <c r="T41" s="67"/>
      <c r="W41" s="67"/>
      <c r="X41" s="67"/>
      <c r="AA41" s="67"/>
      <c r="AB41" s="67"/>
      <c r="AE41" s="67"/>
      <c r="AF41" s="67"/>
      <c r="AI41" s="67"/>
      <c r="AJ41" s="74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</row>
    <row r="42" spans="1:55" x14ac:dyDescent="0.25">
      <c r="A42" s="57" t="s">
        <v>286</v>
      </c>
      <c r="B42" s="45"/>
      <c r="C42" s="215">
        <v>2012</v>
      </c>
      <c r="D42" s="215"/>
      <c r="E42" s="214">
        <v>2013</v>
      </c>
      <c r="F42" s="205"/>
      <c r="G42" s="202">
        <v>2014</v>
      </c>
      <c r="H42" s="203"/>
      <c r="I42" s="204">
        <v>2015</v>
      </c>
      <c r="J42" s="205"/>
      <c r="K42" s="202">
        <v>2016</v>
      </c>
      <c r="L42" s="203"/>
      <c r="M42" s="204">
        <v>2017</v>
      </c>
      <c r="N42" s="205"/>
      <c r="O42" s="202">
        <v>2018</v>
      </c>
      <c r="P42" s="203"/>
      <c r="Q42" s="204">
        <v>2019</v>
      </c>
      <c r="R42" s="205"/>
      <c r="S42" s="202">
        <v>2020</v>
      </c>
      <c r="T42" s="203"/>
      <c r="U42" s="204">
        <v>2021</v>
      </c>
      <c r="V42" s="205"/>
      <c r="W42" s="202">
        <v>2022</v>
      </c>
      <c r="X42" s="203"/>
      <c r="Y42" s="204">
        <v>2023</v>
      </c>
      <c r="Z42" s="205"/>
      <c r="AA42" s="202">
        <v>2024</v>
      </c>
      <c r="AB42" s="203"/>
      <c r="AC42" s="204">
        <v>2025</v>
      </c>
      <c r="AD42" s="205"/>
      <c r="AE42" s="202">
        <v>2026</v>
      </c>
      <c r="AF42" s="203"/>
      <c r="AG42" s="204">
        <v>2027</v>
      </c>
      <c r="AH42" s="205"/>
      <c r="AI42" s="202">
        <v>2028</v>
      </c>
      <c r="AJ42" s="203"/>
    </row>
    <row r="43" spans="1:55" x14ac:dyDescent="0.25">
      <c r="A43" s="56"/>
      <c r="B43" s="45"/>
      <c r="C43" s="62"/>
      <c r="D43" s="62"/>
      <c r="G43" s="62"/>
      <c r="H43" s="62"/>
      <c r="K43" s="62"/>
      <c r="L43" s="62"/>
      <c r="O43" s="62"/>
      <c r="P43" s="62"/>
      <c r="S43" s="62"/>
      <c r="T43" s="62"/>
      <c r="W43" s="62"/>
      <c r="X43" s="62"/>
      <c r="AA43" s="62"/>
      <c r="AB43" s="62"/>
      <c r="AE43" s="62"/>
      <c r="AF43" s="62"/>
      <c r="AI43" s="62"/>
      <c r="AJ43" s="69"/>
    </row>
    <row r="44" spans="1:55" x14ac:dyDescent="0.25">
      <c r="A44" s="57" t="s">
        <v>287</v>
      </c>
      <c r="B44" s="45"/>
      <c r="C44" s="62"/>
      <c r="D44" s="62"/>
      <c r="G44" s="62"/>
      <c r="H44" s="62"/>
      <c r="K44" s="62"/>
      <c r="L44" s="62"/>
      <c r="O44" s="62"/>
      <c r="P44" s="62"/>
      <c r="S44" s="62"/>
      <c r="T44" s="62"/>
      <c r="W44" s="62"/>
      <c r="X44" s="62"/>
      <c r="AA44" s="62"/>
      <c r="AB44" s="62"/>
      <c r="AE44" s="62"/>
      <c r="AF44" s="62"/>
      <c r="AI44" s="62"/>
      <c r="AJ44" s="69"/>
    </row>
    <row r="45" spans="1:55" x14ac:dyDescent="0.25">
      <c r="A45" s="56"/>
      <c r="B45" s="45" t="s">
        <v>288</v>
      </c>
      <c r="C45" s="199">
        <f>Assumptions!E41</f>
        <v>0.97</v>
      </c>
      <c r="D45" s="199"/>
      <c r="E45" s="201">
        <f>E36</f>
        <v>0.97</v>
      </c>
      <c r="F45" s="201"/>
      <c r="G45" s="199">
        <f t="shared" ref="G45" si="245">G36</f>
        <v>0.97</v>
      </c>
      <c r="H45" s="199"/>
      <c r="I45" s="201">
        <f t="shared" ref="I45" si="246">I36</f>
        <v>0.97</v>
      </c>
      <c r="J45" s="201"/>
      <c r="K45" s="199">
        <f t="shared" ref="K45" si="247">K36</f>
        <v>0.97</v>
      </c>
      <c r="L45" s="199"/>
      <c r="M45" s="201">
        <f t="shared" ref="M45" si="248">M36</f>
        <v>0.97</v>
      </c>
      <c r="N45" s="201"/>
      <c r="O45" s="199">
        <f t="shared" ref="O45" si="249">O36</f>
        <v>0.97</v>
      </c>
      <c r="P45" s="199"/>
      <c r="Q45" s="201">
        <f t="shared" ref="Q45" si="250">Q36</f>
        <v>0.97</v>
      </c>
      <c r="R45" s="201"/>
      <c r="S45" s="199">
        <f t="shared" ref="S45" si="251">S36</f>
        <v>0.97</v>
      </c>
      <c r="T45" s="199"/>
      <c r="U45" s="201">
        <f t="shared" ref="U45" si="252">U36</f>
        <v>0.97</v>
      </c>
      <c r="V45" s="201"/>
      <c r="W45" s="199">
        <f t="shared" ref="W45" si="253">W36</f>
        <v>0.97</v>
      </c>
      <c r="X45" s="199"/>
      <c r="Y45" s="201">
        <f t="shared" ref="Y45" si="254">Y36</f>
        <v>0.97</v>
      </c>
      <c r="Z45" s="201"/>
      <c r="AA45" s="199">
        <f t="shared" ref="AA45" si="255">AA36</f>
        <v>0.97</v>
      </c>
      <c r="AB45" s="199"/>
      <c r="AC45" s="201">
        <f t="shared" ref="AC45" si="256">AC36</f>
        <v>0.97</v>
      </c>
      <c r="AD45" s="201"/>
      <c r="AE45" s="199">
        <f t="shared" ref="AE45" si="257">AE36</f>
        <v>0.97</v>
      </c>
      <c r="AF45" s="199"/>
      <c r="AG45" s="201">
        <f t="shared" ref="AG45" si="258">AG36</f>
        <v>0.97</v>
      </c>
      <c r="AH45" s="201"/>
      <c r="AI45" s="199">
        <f t="shared" ref="AI45" si="259">AI36</f>
        <v>0.97</v>
      </c>
      <c r="AJ45" s="200"/>
    </row>
    <row r="46" spans="1:55" x14ac:dyDescent="0.25">
      <c r="A46" s="56"/>
      <c r="B46" s="45" t="s">
        <v>289</v>
      </c>
      <c r="C46" s="190">
        <f ca="1">C37</f>
        <v>0.55533989179885335</v>
      </c>
      <c r="D46" s="190"/>
      <c r="E46" s="195">
        <f ca="1">E37</f>
        <v>0.53928254766884665</v>
      </c>
      <c r="F46" s="195"/>
      <c r="G46" s="190">
        <f t="shared" ref="G46" ca="1" si="260">G37</f>
        <v>0.52153820412671492</v>
      </c>
      <c r="H46" s="190"/>
      <c r="I46" s="195">
        <f t="shared" ref="I46" ca="1" si="261">I37</f>
        <v>0.50186728557465143</v>
      </c>
      <c r="J46" s="195"/>
      <c r="K46" s="190">
        <f t="shared" ref="K46" ca="1" si="262">K37</f>
        <v>0.47998388220480609</v>
      </c>
      <c r="L46" s="190"/>
      <c r="M46" s="195">
        <f t="shared" ref="M46" ca="1" si="263">M37</f>
        <v>0.45554398079117953</v>
      </c>
      <c r="N46" s="195"/>
      <c r="O46" s="190">
        <f t="shared" ref="O46" ca="1" si="264">O37</f>
        <v>0.42812991346188495</v>
      </c>
      <c r="P46" s="190"/>
      <c r="Q46" s="195">
        <f t="shared" ref="Q46" ca="1" si="265">Q37</f>
        <v>0.39722952625945385</v>
      </c>
      <c r="R46" s="195"/>
      <c r="S46" s="190">
        <f t="shared" ref="S46" ca="1" si="266">S37</f>
        <v>0.36220785035422526</v>
      </c>
      <c r="T46" s="190"/>
      <c r="U46" s="195">
        <f t="shared" ref="U46" ca="1" si="267">U37</f>
        <v>0.32226792694032386</v>
      </c>
      <c r="V46" s="195"/>
      <c r="W46" s="190">
        <f t="shared" ref="W46" ca="1" si="268">W37</f>
        <v>0.2763956106822319</v>
      </c>
      <c r="X46" s="190"/>
      <c r="Y46" s="195">
        <f t="shared" ref="Y46" ca="1" si="269">Y37</f>
        <v>0.22328014821341852</v>
      </c>
      <c r="Z46" s="195"/>
      <c r="AA46" s="190">
        <f t="shared" ref="AA46" ca="1" si="270">AA37</f>
        <v>0.16119714883877329</v>
      </c>
      <c r="AB46" s="190"/>
      <c r="AC46" s="195">
        <f t="shared" ref="AC46" ca="1" si="271">AC37</f>
        <v>8.783139125818365E-2</v>
      </c>
      <c r="AD46" s="195"/>
      <c r="AE46" s="190">
        <f t="shared" ref="AE46" ca="1" si="272">AE37</f>
        <v>0</v>
      </c>
      <c r="AF46" s="190"/>
      <c r="AG46" s="195">
        <f t="shared" ref="AG46" ca="1" si="273">AG37</f>
        <v>0</v>
      </c>
      <c r="AH46" s="195"/>
      <c r="AI46" s="190">
        <f t="shared" ref="AI46" ca="1" si="274">AI37</f>
        <v>0</v>
      </c>
      <c r="AJ46" s="191"/>
    </row>
    <row r="47" spans="1:55" x14ac:dyDescent="0.25">
      <c r="A47" s="56"/>
      <c r="B47" s="45" t="s">
        <v>290</v>
      </c>
      <c r="C47" s="190">
        <f ca="1">C38</f>
        <v>0.44466010820114665</v>
      </c>
      <c r="D47" s="190"/>
      <c r="E47" s="195">
        <f ca="1">E38</f>
        <v>0.4607174523311533</v>
      </c>
      <c r="F47" s="195"/>
      <c r="G47" s="190">
        <f t="shared" ref="G47" ca="1" si="275">G38</f>
        <v>0.47846179587328502</v>
      </c>
      <c r="H47" s="190"/>
      <c r="I47" s="195">
        <f t="shared" ref="I47" ca="1" si="276">I38</f>
        <v>0.49813271442534857</v>
      </c>
      <c r="J47" s="195"/>
      <c r="K47" s="190">
        <f t="shared" ref="K47" ca="1" si="277">K38</f>
        <v>0.52001611779519397</v>
      </c>
      <c r="L47" s="190"/>
      <c r="M47" s="195">
        <f t="shared" ref="M47" ca="1" si="278">M38</f>
        <v>0.54445601920882047</v>
      </c>
      <c r="N47" s="195"/>
      <c r="O47" s="190">
        <f t="shared" ref="O47" ca="1" si="279">O38</f>
        <v>0.571870086538115</v>
      </c>
      <c r="P47" s="190"/>
      <c r="Q47" s="195">
        <f t="shared" ref="Q47" ca="1" si="280">Q38</f>
        <v>0.60277047374054615</v>
      </c>
      <c r="R47" s="195"/>
      <c r="S47" s="190">
        <f t="shared" ref="S47" ca="1" si="281">S38</f>
        <v>0.63779214964577469</v>
      </c>
      <c r="T47" s="190"/>
      <c r="U47" s="195">
        <f t="shared" ref="U47" ca="1" si="282">U38</f>
        <v>0.6777320730596762</v>
      </c>
      <c r="V47" s="195"/>
      <c r="W47" s="190">
        <f t="shared" ref="W47" ca="1" si="283">W38</f>
        <v>0.72360438931776816</v>
      </c>
      <c r="X47" s="190"/>
      <c r="Y47" s="195">
        <f t="shared" ref="Y47" ca="1" si="284">Y38</f>
        <v>0.77671985178658143</v>
      </c>
      <c r="Z47" s="195"/>
      <c r="AA47" s="190">
        <f t="shared" ref="AA47" ca="1" si="285">AA38</f>
        <v>0.83880285116122666</v>
      </c>
      <c r="AB47" s="190"/>
      <c r="AC47" s="195">
        <f t="shared" ref="AC47" ca="1" si="286">AC38</f>
        <v>0.91216860874181638</v>
      </c>
      <c r="AD47" s="195"/>
      <c r="AE47" s="190">
        <f t="shared" ref="AE47" ca="1" si="287">AE38</f>
        <v>1</v>
      </c>
      <c r="AF47" s="190"/>
      <c r="AG47" s="195">
        <f t="shared" ref="AG47" ca="1" si="288">AG38</f>
        <v>1</v>
      </c>
      <c r="AH47" s="195"/>
      <c r="AI47" s="190">
        <f t="shared" ref="AI47" ca="1" si="289">AI38</f>
        <v>1</v>
      </c>
      <c r="AJ47" s="191"/>
    </row>
    <row r="48" spans="1:55" x14ac:dyDescent="0.25">
      <c r="A48" s="56"/>
      <c r="B48" s="45"/>
      <c r="C48" s="62"/>
      <c r="D48" s="62"/>
      <c r="G48" s="62"/>
      <c r="H48" s="62"/>
      <c r="K48" s="62"/>
      <c r="L48" s="62"/>
      <c r="O48" s="62"/>
      <c r="P48" s="62"/>
      <c r="S48" s="62"/>
      <c r="T48" s="62"/>
      <c r="W48" s="62"/>
      <c r="X48" s="62"/>
      <c r="AA48" s="62"/>
      <c r="AB48" s="62"/>
      <c r="AE48" s="62"/>
      <c r="AF48" s="62"/>
      <c r="AI48" s="62"/>
      <c r="AJ48" s="69"/>
    </row>
    <row r="49" spans="1:36" x14ac:dyDescent="0.25">
      <c r="A49" s="56"/>
      <c r="B49" s="45" t="s">
        <v>291</v>
      </c>
      <c r="C49" s="187">
        <f ca="1">C45/(1+(1-C25)*(C46/C47))</f>
        <v>0.48521179848966806</v>
      </c>
      <c r="D49" s="187"/>
      <c r="E49" s="189">
        <f ca="1">E45/(1+(1-E25)*(E46/E47))</f>
        <v>0.50092382395535129</v>
      </c>
      <c r="F49" s="189"/>
      <c r="G49" s="187">
        <f t="shared" ref="G49" ca="1" si="290">G45/(1+(1-G25)*(G46/G47))</f>
        <v>0.51815552208655935</v>
      </c>
      <c r="H49" s="187"/>
      <c r="I49" s="189">
        <f t="shared" ref="I49" ca="1" si="291">I45/(1+(1-I25)*(I46/I47))</f>
        <v>0.53709924058378633</v>
      </c>
      <c r="J49" s="189"/>
      <c r="K49" s="187">
        <f t="shared" ref="K49" ca="1" si="292">K45/(1+(1-K25)*(K46/K47))</f>
        <v>0.55797990661522856</v>
      </c>
      <c r="L49" s="187"/>
      <c r="M49" s="189">
        <f t="shared" ref="M49" ca="1" si="293">M45/(1+(1-M25)*(M46/M47))</f>
        <v>0.58106221778828082</v>
      </c>
      <c r="N49" s="189"/>
      <c r="O49" s="187">
        <f t="shared" ref="O49" ca="1" si="294">O45/(1+(1-O25)*(O46/O47))</f>
        <v>0.60665982786270378</v>
      </c>
      <c r="P49" s="187"/>
      <c r="Q49" s="189">
        <f t="shared" ref="Q49" ca="1" si="295">Q45/(1+(1-Q25)*(Q46/Q47))</f>
        <v>0.6351472041285281</v>
      </c>
      <c r="R49" s="189"/>
      <c r="S49" s="187">
        <f t="shared" ref="S49" ca="1" si="296">S45/(1+(1-S25)*(S46/S47))</f>
        <v>0.66697510927010095</v>
      </c>
      <c r="T49" s="187"/>
      <c r="U49" s="189">
        <f t="shared" ref="U49" ca="1" si="297">U45/(1+(1-U25)*(U46/U47))</f>
        <v>0.70269106973230777</v>
      </c>
      <c r="V49" s="189"/>
      <c r="W49" s="187">
        <f t="shared" ref="W49" ca="1" si="298">W45/(1+(1-W25)*(W46/W47))</f>
        <v>0.74296681071084592</v>
      </c>
      <c r="X49" s="187"/>
      <c r="Y49" s="189">
        <f t="shared" ref="Y49" ca="1" si="299">Y45/(1+(1-Y25)*(Y46/Y47))</f>
        <v>0.78863559054147969</v>
      </c>
      <c r="Z49" s="189"/>
      <c r="AA49" s="187">
        <f t="shared" ref="AA49" ca="1" si="300">AA45/(1+(1-AA25)*(AA46/AA47))</f>
        <v>0.84074386852848437</v>
      </c>
      <c r="AB49" s="187"/>
      <c r="AC49" s="189">
        <f t="shared" ref="AC49" ca="1" si="301">AC45/(1+(1-AC25)*(AC46/AC47))</f>
        <v>0.90062416516499832</v>
      </c>
      <c r="AD49" s="189"/>
      <c r="AE49" s="187">
        <f t="shared" ref="AE49" ca="1" si="302">AE45/(1+(1-AE25)*(AE46/AE47))</f>
        <v>0.97</v>
      </c>
      <c r="AF49" s="187"/>
      <c r="AG49" s="189">
        <f t="shared" ref="AG49" ca="1" si="303">AG45/(1+(1-AG25)*(AG46/AG47))</f>
        <v>0.97</v>
      </c>
      <c r="AH49" s="189"/>
      <c r="AI49" s="187">
        <f t="shared" ref="AI49" ca="1" si="304">AI45/(1+(1-AI25)*(AI46/AI47))</f>
        <v>0.97</v>
      </c>
      <c r="AJ49" s="188"/>
    </row>
    <row r="50" spans="1:36" x14ac:dyDescent="0.25">
      <c r="A50" s="56"/>
      <c r="B50" s="45"/>
      <c r="C50" s="62"/>
      <c r="D50" s="62"/>
      <c r="G50" s="62"/>
      <c r="H50" s="62"/>
      <c r="K50" s="62"/>
      <c r="L50" s="62"/>
      <c r="O50" s="62"/>
      <c r="P50" s="62"/>
      <c r="S50" s="62"/>
      <c r="T50" s="62"/>
      <c r="W50" s="62"/>
      <c r="X50" s="62"/>
      <c r="AA50" s="62"/>
      <c r="AB50" s="62"/>
      <c r="AE50" s="62"/>
      <c r="AF50" s="62"/>
      <c r="AI50" s="62"/>
      <c r="AJ50" s="69"/>
    </row>
    <row r="51" spans="1:36" x14ac:dyDescent="0.25">
      <c r="A51" s="56"/>
      <c r="B51" s="45" t="s">
        <v>292</v>
      </c>
      <c r="C51" s="196">
        <v>0.7</v>
      </c>
      <c r="D51" s="196"/>
      <c r="E51" s="198">
        <f>C51</f>
        <v>0.7</v>
      </c>
      <c r="F51" s="198"/>
      <c r="G51" s="196">
        <f t="shared" ref="G51:G52" si="305">E51</f>
        <v>0.7</v>
      </c>
      <c r="H51" s="196"/>
      <c r="I51" s="198">
        <f t="shared" ref="I51:I52" si="306">G51</f>
        <v>0.7</v>
      </c>
      <c r="J51" s="198"/>
      <c r="K51" s="196">
        <f t="shared" ref="K51:K52" si="307">I51</f>
        <v>0.7</v>
      </c>
      <c r="L51" s="196"/>
      <c r="M51" s="198">
        <f t="shared" ref="M51:M52" si="308">K51</f>
        <v>0.7</v>
      </c>
      <c r="N51" s="198"/>
      <c r="O51" s="196">
        <f t="shared" ref="O51:O52" si="309">M51</f>
        <v>0.7</v>
      </c>
      <c r="P51" s="196"/>
      <c r="Q51" s="198">
        <f t="shared" ref="Q51:Q52" si="310">O51</f>
        <v>0.7</v>
      </c>
      <c r="R51" s="198"/>
      <c r="S51" s="196">
        <f t="shared" ref="S51:S52" si="311">Q51</f>
        <v>0.7</v>
      </c>
      <c r="T51" s="196"/>
      <c r="U51" s="198">
        <f t="shared" ref="U51:U52" si="312">S51</f>
        <v>0.7</v>
      </c>
      <c r="V51" s="198"/>
      <c r="W51" s="196">
        <f t="shared" ref="W51:W52" si="313">U51</f>
        <v>0.7</v>
      </c>
      <c r="X51" s="196"/>
      <c r="Y51" s="198">
        <f t="shared" ref="Y51:Y52" si="314">W51</f>
        <v>0.7</v>
      </c>
      <c r="Z51" s="198"/>
      <c r="AA51" s="196">
        <f t="shared" ref="AA51:AA52" si="315">Y51</f>
        <v>0.7</v>
      </c>
      <c r="AB51" s="196"/>
      <c r="AC51" s="198">
        <f t="shared" ref="AC51:AC52" si="316">AA51</f>
        <v>0.7</v>
      </c>
      <c r="AD51" s="198"/>
      <c r="AE51" s="196">
        <f t="shared" ref="AE51:AE52" si="317">AC51</f>
        <v>0.7</v>
      </c>
      <c r="AF51" s="196"/>
      <c r="AG51" s="198">
        <f t="shared" ref="AG51:AG52" si="318">AE51</f>
        <v>0.7</v>
      </c>
      <c r="AH51" s="198"/>
      <c r="AI51" s="196">
        <f t="shared" ref="AI51:AI52" si="319">AG51</f>
        <v>0.7</v>
      </c>
      <c r="AJ51" s="197"/>
    </row>
    <row r="52" spans="1:36" x14ac:dyDescent="0.25">
      <c r="A52" s="56"/>
      <c r="B52" s="45" t="s">
        <v>293</v>
      </c>
      <c r="C52" s="196">
        <v>0.3</v>
      </c>
      <c r="D52" s="196"/>
      <c r="E52" s="198">
        <f>C52</f>
        <v>0.3</v>
      </c>
      <c r="F52" s="198"/>
      <c r="G52" s="196">
        <f t="shared" si="305"/>
        <v>0.3</v>
      </c>
      <c r="H52" s="196"/>
      <c r="I52" s="198">
        <f t="shared" si="306"/>
        <v>0.3</v>
      </c>
      <c r="J52" s="198"/>
      <c r="K52" s="196">
        <f t="shared" si="307"/>
        <v>0.3</v>
      </c>
      <c r="L52" s="196"/>
      <c r="M52" s="198">
        <f t="shared" si="308"/>
        <v>0.3</v>
      </c>
      <c r="N52" s="198"/>
      <c r="O52" s="196">
        <f t="shared" si="309"/>
        <v>0.3</v>
      </c>
      <c r="P52" s="196"/>
      <c r="Q52" s="198">
        <f t="shared" si="310"/>
        <v>0.3</v>
      </c>
      <c r="R52" s="198"/>
      <c r="S52" s="196">
        <f t="shared" si="311"/>
        <v>0.3</v>
      </c>
      <c r="T52" s="196"/>
      <c r="U52" s="198">
        <f t="shared" si="312"/>
        <v>0.3</v>
      </c>
      <c r="V52" s="198"/>
      <c r="W52" s="196">
        <f t="shared" si="313"/>
        <v>0.3</v>
      </c>
      <c r="X52" s="196"/>
      <c r="Y52" s="198">
        <f t="shared" si="314"/>
        <v>0.3</v>
      </c>
      <c r="Z52" s="198"/>
      <c r="AA52" s="196">
        <f t="shared" si="315"/>
        <v>0.3</v>
      </c>
      <c r="AB52" s="196"/>
      <c r="AC52" s="198">
        <f t="shared" si="316"/>
        <v>0.3</v>
      </c>
      <c r="AD52" s="198"/>
      <c r="AE52" s="196">
        <f t="shared" si="317"/>
        <v>0.3</v>
      </c>
      <c r="AF52" s="196"/>
      <c r="AG52" s="198">
        <f t="shared" si="318"/>
        <v>0.3</v>
      </c>
      <c r="AH52" s="198"/>
      <c r="AI52" s="196">
        <f t="shared" si="319"/>
        <v>0.3</v>
      </c>
      <c r="AJ52" s="197"/>
    </row>
    <row r="53" spans="1:36" x14ac:dyDescent="0.25">
      <c r="A53" s="56"/>
      <c r="B53" s="45"/>
      <c r="C53" s="62"/>
      <c r="D53" s="62"/>
      <c r="G53" s="62"/>
      <c r="H53" s="62"/>
      <c r="K53" s="62"/>
      <c r="L53" s="62"/>
      <c r="O53" s="62"/>
      <c r="P53" s="62"/>
      <c r="S53" s="62"/>
      <c r="T53" s="62"/>
      <c r="W53" s="62"/>
      <c r="X53" s="62"/>
      <c r="AA53" s="62"/>
      <c r="AB53" s="62"/>
      <c r="AE53" s="62"/>
      <c r="AF53" s="62"/>
      <c r="AI53" s="62"/>
      <c r="AJ53" s="69"/>
    </row>
    <row r="54" spans="1:36" x14ac:dyDescent="0.25">
      <c r="A54" s="57" t="s">
        <v>294</v>
      </c>
      <c r="B54" s="45"/>
      <c r="C54" s="187">
        <f ca="1">C49*(1+(1-C63)*(C51/C52))</f>
        <v>1.3909404890037154</v>
      </c>
      <c r="D54" s="187"/>
      <c r="E54" s="189">
        <f ca="1">E49*(1+(1-E63)*(E51/E52))</f>
        <v>1.4359816286720073</v>
      </c>
      <c r="F54" s="189"/>
      <c r="G54" s="187">
        <f t="shared" ref="G54" ca="1" si="320">G49*(1+(1-G63)*(G51/G52))</f>
        <v>1.4853791633148037</v>
      </c>
      <c r="H54" s="187"/>
      <c r="I54" s="189">
        <f t="shared" ref="I54" ca="1" si="321">I49*(1+(1-I63)*(I51/I52))</f>
        <v>1.5396844896735211</v>
      </c>
      <c r="J54" s="189"/>
      <c r="K54" s="187">
        <f t="shared" ref="K54" ca="1" si="322">K49*(1+(1-K63)*(K51/K52))</f>
        <v>1.5995423989636555</v>
      </c>
      <c r="L54" s="187"/>
      <c r="M54" s="189">
        <f t="shared" ref="M54" ca="1" si="323">M49*(1+(1-M63)*(M51/M52))</f>
        <v>1.665711690993072</v>
      </c>
      <c r="N54" s="189"/>
      <c r="O54" s="187">
        <f t="shared" ref="O54" ca="1" si="324">O49*(1+(1-O63)*(O51/O52))</f>
        <v>1.7390915065397512</v>
      </c>
      <c r="P54" s="187"/>
      <c r="Q54" s="189">
        <f t="shared" ref="Q54" ca="1" si="325">Q49*(1+(1-Q63)*(Q51/Q52))</f>
        <v>1.8207553185017809</v>
      </c>
      <c r="R54" s="189"/>
      <c r="S54" s="187">
        <f t="shared" ref="S54" ca="1" si="326">S49*(1+(1-S63)*(S51/S52))</f>
        <v>1.9119953132409564</v>
      </c>
      <c r="T54" s="187"/>
      <c r="U54" s="189">
        <f t="shared" ref="U54" ca="1" si="327">U49*(1+(1-U63)*(U51/U52))</f>
        <v>2.0143810665659494</v>
      </c>
      <c r="V54" s="189"/>
      <c r="W54" s="187">
        <f t="shared" ref="W54" ca="1" si="328">W49*(1+(1-W63)*(W51/W52))</f>
        <v>2.1298381907044255</v>
      </c>
      <c r="X54" s="187"/>
      <c r="Y54" s="189">
        <f t="shared" ref="Y54" ca="1" si="329">Y49*(1+(1-Y63)*(Y51/Y52))</f>
        <v>2.2607553595522423</v>
      </c>
      <c r="Z54" s="189"/>
      <c r="AA54" s="187">
        <f t="shared" ref="AA54" ca="1" si="330">AA49*(1+(1-AA63)*(AA51/AA52))</f>
        <v>2.4101324231149888</v>
      </c>
      <c r="AB54" s="187"/>
      <c r="AC54" s="189">
        <f t="shared" ref="AC54" ca="1" si="331">AC49*(1+(1-AC63)*(AC51/AC52))</f>
        <v>2.5817892734729955</v>
      </c>
      <c r="AD54" s="189"/>
      <c r="AE54" s="187">
        <f t="shared" ref="AE54" ca="1" si="332">AE49*(1+(1-AE63)*(AE51/AE52))</f>
        <v>2.7806666666666668</v>
      </c>
      <c r="AF54" s="187"/>
      <c r="AG54" s="189">
        <f t="shared" ref="AG54" ca="1" si="333">AG49*(1+(1-AG63)*(AG51/AG52))</f>
        <v>2.7806666666666668</v>
      </c>
      <c r="AH54" s="189"/>
      <c r="AI54" s="187">
        <f t="shared" ref="AI54" ca="1" si="334">AI49*(1+(1-AI63)*(AI51/AI52))</f>
        <v>2.7806666666666668</v>
      </c>
      <c r="AJ54" s="188"/>
    </row>
    <row r="55" spans="1:36" x14ac:dyDescent="0.25">
      <c r="A55" s="56"/>
      <c r="B55" s="45"/>
      <c r="C55" s="62"/>
      <c r="D55" s="62"/>
      <c r="G55" s="62"/>
      <c r="H55" s="62"/>
      <c r="K55" s="62"/>
      <c r="L55" s="62"/>
      <c r="O55" s="62"/>
      <c r="P55" s="62"/>
      <c r="S55" s="62"/>
      <c r="T55" s="62"/>
      <c r="W55" s="62"/>
      <c r="X55" s="62"/>
      <c r="AA55" s="62"/>
      <c r="AB55" s="62"/>
      <c r="AE55" s="62"/>
      <c r="AF55" s="62"/>
      <c r="AI55" s="62"/>
      <c r="AJ55" s="69"/>
    </row>
    <row r="56" spans="1:36" x14ac:dyDescent="0.25">
      <c r="A56" s="179" t="s">
        <v>311</v>
      </c>
      <c r="B56" s="180"/>
      <c r="C56" s="62"/>
      <c r="D56" s="62"/>
      <c r="G56" s="62"/>
      <c r="H56" s="62"/>
      <c r="K56" s="62"/>
      <c r="L56" s="62"/>
      <c r="O56" s="62"/>
      <c r="P56" s="62"/>
      <c r="S56" s="62"/>
      <c r="T56" s="62"/>
      <c r="W56" s="62"/>
      <c r="X56" s="62"/>
      <c r="AA56" s="62"/>
      <c r="AB56" s="62"/>
      <c r="AE56" s="62"/>
      <c r="AF56" s="62"/>
      <c r="AI56" s="62"/>
      <c r="AJ56" s="69"/>
    </row>
    <row r="57" spans="1:36" x14ac:dyDescent="0.25">
      <c r="A57" s="179"/>
      <c r="B57" s="180"/>
      <c r="C57" s="62"/>
      <c r="D57" s="62"/>
      <c r="G57" s="62"/>
      <c r="H57" s="62"/>
      <c r="K57" s="62"/>
      <c r="L57" s="62"/>
      <c r="O57" s="62"/>
      <c r="P57" s="62"/>
      <c r="S57" s="62"/>
      <c r="T57" s="62"/>
      <c r="W57" s="62"/>
      <c r="X57" s="62"/>
      <c r="AA57" s="62"/>
      <c r="AB57" s="62"/>
      <c r="AE57" s="62"/>
      <c r="AF57" s="62"/>
      <c r="AI57" s="62"/>
      <c r="AJ57" s="69"/>
    </row>
    <row r="58" spans="1:36" x14ac:dyDescent="0.25">
      <c r="A58" s="56"/>
      <c r="B58" s="45"/>
      <c r="C58" s="62"/>
      <c r="D58" s="62"/>
      <c r="G58" s="62"/>
      <c r="H58" s="62"/>
      <c r="K58" s="62"/>
      <c r="L58" s="62"/>
      <c r="O58" s="62"/>
      <c r="P58" s="62"/>
      <c r="S58" s="62"/>
      <c r="T58" s="62"/>
      <c r="W58" s="62"/>
      <c r="X58" s="62"/>
      <c r="AA58" s="62"/>
      <c r="AB58" s="62"/>
      <c r="AE58" s="62"/>
      <c r="AF58" s="62"/>
      <c r="AI58" s="62"/>
      <c r="AJ58" s="69"/>
    </row>
    <row r="59" spans="1:36" x14ac:dyDescent="0.25">
      <c r="A59" s="56"/>
      <c r="B59" s="45" t="s">
        <v>271</v>
      </c>
      <c r="C59" s="181">
        <f>C6</f>
        <v>0.01</v>
      </c>
      <c r="D59" s="181"/>
      <c r="E59" s="186">
        <f>E6</f>
        <v>0.01</v>
      </c>
      <c r="F59" s="186"/>
      <c r="G59" s="181">
        <f t="shared" ref="G59" si="335">G6</f>
        <v>0.01</v>
      </c>
      <c r="H59" s="181"/>
      <c r="I59" s="186">
        <f t="shared" ref="I59" si="336">I6</f>
        <v>0.01</v>
      </c>
      <c r="J59" s="186"/>
      <c r="K59" s="181">
        <f t="shared" ref="K59" si="337">K6</f>
        <v>0.01</v>
      </c>
      <c r="L59" s="181"/>
      <c r="M59" s="186">
        <f t="shared" ref="M59" si="338">M6</f>
        <v>0.01</v>
      </c>
      <c r="N59" s="186"/>
      <c r="O59" s="181">
        <f t="shared" ref="O59" si="339">O6</f>
        <v>0.01</v>
      </c>
      <c r="P59" s="181"/>
      <c r="Q59" s="186">
        <f t="shared" ref="Q59" si="340">Q6</f>
        <v>0.01</v>
      </c>
      <c r="R59" s="186"/>
      <c r="S59" s="181">
        <f t="shared" ref="S59" si="341">S6</f>
        <v>0.01</v>
      </c>
      <c r="T59" s="181"/>
      <c r="U59" s="186">
        <f t="shared" ref="U59" si="342">U6</f>
        <v>0.01</v>
      </c>
      <c r="V59" s="186"/>
      <c r="W59" s="181">
        <f t="shared" ref="W59" si="343">W6</f>
        <v>0.01</v>
      </c>
      <c r="X59" s="181"/>
      <c r="Y59" s="186">
        <f t="shared" ref="Y59" si="344">Y6</f>
        <v>0.01</v>
      </c>
      <c r="Z59" s="186"/>
      <c r="AA59" s="181">
        <f t="shared" ref="AA59" si="345">AA6</f>
        <v>0.01</v>
      </c>
      <c r="AB59" s="181"/>
      <c r="AC59" s="186">
        <f t="shared" ref="AC59" si="346">AC6</f>
        <v>0.01</v>
      </c>
      <c r="AD59" s="186"/>
      <c r="AE59" s="181">
        <f t="shared" ref="AE59" si="347">AE6</f>
        <v>0.01</v>
      </c>
      <c r="AF59" s="181"/>
      <c r="AG59" s="186">
        <f t="shared" ref="AG59" si="348">AG6</f>
        <v>0.01</v>
      </c>
      <c r="AH59" s="186"/>
      <c r="AI59" s="181">
        <f t="shared" ref="AI59" si="349">AI6</f>
        <v>0.01</v>
      </c>
      <c r="AJ59" s="182"/>
    </row>
    <row r="60" spans="1:36" x14ac:dyDescent="0.25">
      <c r="A60" s="56"/>
      <c r="B60" s="45" t="s">
        <v>272</v>
      </c>
      <c r="C60" s="181">
        <f>C7</f>
        <v>0.12</v>
      </c>
      <c r="D60" s="181"/>
      <c r="E60" s="186">
        <f>E7</f>
        <v>0.12</v>
      </c>
      <c r="F60" s="186"/>
      <c r="G60" s="181">
        <f t="shared" ref="G60" si="350">G7</f>
        <v>0.12</v>
      </c>
      <c r="H60" s="181"/>
      <c r="I60" s="186">
        <f t="shared" ref="I60" si="351">I7</f>
        <v>0.12</v>
      </c>
      <c r="J60" s="186"/>
      <c r="K60" s="181">
        <f t="shared" ref="K60" si="352">K7</f>
        <v>0.12</v>
      </c>
      <c r="L60" s="181"/>
      <c r="M60" s="186">
        <f t="shared" ref="M60" si="353">M7</f>
        <v>0.12</v>
      </c>
      <c r="N60" s="186"/>
      <c r="O60" s="181">
        <f t="shared" ref="O60" si="354">O7</f>
        <v>0.12</v>
      </c>
      <c r="P60" s="181"/>
      <c r="Q60" s="186">
        <f t="shared" ref="Q60" si="355">Q7</f>
        <v>0.12</v>
      </c>
      <c r="R60" s="186"/>
      <c r="S60" s="181">
        <f t="shared" ref="S60" si="356">S7</f>
        <v>0.12</v>
      </c>
      <c r="T60" s="181"/>
      <c r="U60" s="186">
        <f t="shared" ref="U60" si="357">U7</f>
        <v>0.12</v>
      </c>
      <c r="V60" s="186"/>
      <c r="W60" s="181">
        <f t="shared" ref="W60" si="358">W7</f>
        <v>0.12</v>
      </c>
      <c r="X60" s="181"/>
      <c r="Y60" s="186">
        <f t="shared" ref="Y60" si="359">Y7</f>
        <v>0.12</v>
      </c>
      <c r="Z60" s="186"/>
      <c r="AA60" s="181">
        <f t="shared" ref="AA60" si="360">AA7</f>
        <v>0.12</v>
      </c>
      <c r="AB60" s="181"/>
      <c r="AC60" s="186">
        <f t="shared" ref="AC60" si="361">AC7</f>
        <v>0.12</v>
      </c>
      <c r="AD60" s="186"/>
      <c r="AE60" s="181">
        <f t="shared" ref="AE60" si="362">AE7</f>
        <v>0.12</v>
      </c>
      <c r="AF60" s="181"/>
      <c r="AG60" s="186">
        <f t="shared" ref="AG60" si="363">AG7</f>
        <v>0.12</v>
      </c>
      <c r="AH60" s="186"/>
      <c r="AI60" s="181">
        <f t="shared" ref="AI60" si="364">AI7</f>
        <v>0.12</v>
      </c>
      <c r="AJ60" s="182"/>
    </row>
    <row r="61" spans="1:36" x14ac:dyDescent="0.25">
      <c r="A61" s="56"/>
      <c r="B61" s="45" t="s">
        <v>273</v>
      </c>
      <c r="C61" s="181">
        <f>C8</f>
        <v>0.11</v>
      </c>
      <c r="D61" s="181"/>
      <c r="E61" s="186">
        <f>E8</f>
        <v>0.11</v>
      </c>
      <c r="F61" s="186"/>
      <c r="G61" s="181">
        <f t="shared" ref="G61" si="365">G8</f>
        <v>0.11</v>
      </c>
      <c r="H61" s="181"/>
      <c r="I61" s="186">
        <f t="shared" ref="I61" si="366">I8</f>
        <v>0.11</v>
      </c>
      <c r="J61" s="186"/>
      <c r="K61" s="181">
        <f t="shared" ref="K61" si="367">K8</f>
        <v>0.11</v>
      </c>
      <c r="L61" s="181"/>
      <c r="M61" s="186">
        <f t="shared" ref="M61" si="368">M8</f>
        <v>0.11</v>
      </c>
      <c r="N61" s="186"/>
      <c r="O61" s="181">
        <f t="shared" ref="O61" si="369">O8</f>
        <v>0.11</v>
      </c>
      <c r="P61" s="181"/>
      <c r="Q61" s="186">
        <f t="shared" ref="Q61" si="370">Q8</f>
        <v>0.11</v>
      </c>
      <c r="R61" s="186"/>
      <c r="S61" s="181">
        <f t="shared" ref="S61" si="371">S8</f>
        <v>0.11</v>
      </c>
      <c r="T61" s="181"/>
      <c r="U61" s="186">
        <f t="shared" ref="U61" si="372">U8</f>
        <v>0.11</v>
      </c>
      <c r="V61" s="186"/>
      <c r="W61" s="181">
        <f t="shared" ref="W61" si="373">W8</f>
        <v>0.11</v>
      </c>
      <c r="X61" s="181"/>
      <c r="Y61" s="186">
        <f t="shared" ref="Y61" si="374">Y8</f>
        <v>0.11</v>
      </c>
      <c r="Z61" s="186"/>
      <c r="AA61" s="181">
        <f t="shared" ref="AA61" si="375">AA8</f>
        <v>0.11</v>
      </c>
      <c r="AB61" s="181"/>
      <c r="AC61" s="186">
        <f t="shared" ref="AC61" si="376">AC8</f>
        <v>0.11</v>
      </c>
      <c r="AD61" s="186"/>
      <c r="AE61" s="181">
        <f t="shared" ref="AE61" si="377">AE8</f>
        <v>0.11</v>
      </c>
      <c r="AF61" s="181"/>
      <c r="AG61" s="186">
        <f t="shared" ref="AG61" si="378">AG8</f>
        <v>0.11</v>
      </c>
      <c r="AH61" s="186"/>
      <c r="AI61" s="181">
        <f t="shared" ref="AI61" si="379">AI8</f>
        <v>0.11</v>
      </c>
      <c r="AJ61" s="182"/>
    </row>
    <row r="62" spans="1:36" x14ac:dyDescent="0.25">
      <c r="A62" s="56"/>
      <c r="B62" s="45"/>
      <c r="C62" s="62"/>
      <c r="D62" s="62"/>
      <c r="G62" s="62"/>
      <c r="H62" s="62"/>
      <c r="K62" s="62"/>
      <c r="L62" s="62"/>
      <c r="O62" s="62"/>
      <c r="P62" s="62"/>
      <c r="S62" s="62"/>
      <c r="T62" s="62"/>
      <c r="W62" s="62"/>
      <c r="X62" s="62"/>
      <c r="AA62" s="62"/>
      <c r="AB62" s="62"/>
      <c r="AE62" s="62"/>
      <c r="AF62" s="62"/>
      <c r="AI62" s="62"/>
      <c r="AJ62" s="69"/>
    </row>
    <row r="63" spans="1:36" x14ac:dyDescent="0.25">
      <c r="A63" s="57" t="s">
        <v>279</v>
      </c>
      <c r="B63" s="45"/>
      <c r="C63" s="190">
        <f>C25</f>
        <v>0.2</v>
      </c>
      <c r="D63" s="190"/>
      <c r="E63" s="195">
        <f>E25</f>
        <v>0.2</v>
      </c>
      <c r="F63" s="195"/>
      <c r="G63" s="190">
        <f t="shared" ref="G63" si="380">G25</f>
        <v>0.2</v>
      </c>
      <c r="H63" s="190"/>
      <c r="I63" s="195">
        <f t="shared" ref="I63" si="381">I25</f>
        <v>0.2</v>
      </c>
      <c r="J63" s="195"/>
      <c r="K63" s="190">
        <f t="shared" ref="K63" si="382">K25</f>
        <v>0.2</v>
      </c>
      <c r="L63" s="190"/>
      <c r="M63" s="195">
        <f t="shared" ref="M63" si="383">M25</f>
        <v>0.2</v>
      </c>
      <c r="N63" s="195"/>
      <c r="O63" s="190">
        <f t="shared" ref="O63" si="384">O25</f>
        <v>0.2</v>
      </c>
      <c r="P63" s="190"/>
      <c r="Q63" s="195">
        <f t="shared" ref="Q63" si="385">Q25</f>
        <v>0.2</v>
      </c>
      <c r="R63" s="195"/>
      <c r="S63" s="190">
        <f t="shared" ref="S63" si="386">S25</f>
        <v>0.2</v>
      </c>
      <c r="T63" s="190"/>
      <c r="U63" s="195">
        <f t="shared" ref="U63" si="387">U25</f>
        <v>0.2</v>
      </c>
      <c r="V63" s="195"/>
      <c r="W63" s="190">
        <f t="shared" ref="W63" si="388">W25</f>
        <v>0.2</v>
      </c>
      <c r="X63" s="190"/>
      <c r="Y63" s="195">
        <f t="shared" ref="Y63" si="389">Y25</f>
        <v>0.2</v>
      </c>
      <c r="Z63" s="195"/>
      <c r="AA63" s="190">
        <f t="shared" ref="AA63" si="390">AA25</f>
        <v>0.2</v>
      </c>
      <c r="AB63" s="190"/>
      <c r="AC63" s="195">
        <f t="shared" ref="AC63" si="391">AC25</f>
        <v>0.2</v>
      </c>
      <c r="AD63" s="195"/>
      <c r="AE63" s="190">
        <f t="shared" ref="AE63" si="392">AE25</f>
        <v>0.2</v>
      </c>
      <c r="AF63" s="190"/>
      <c r="AG63" s="195">
        <f t="shared" ref="AG63" si="393">AG25</f>
        <v>0.2</v>
      </c>
      <c r="AH63" s="195"/>
      <c r="AI63" s="190">
        <f t="shared" ref="AI63" si="394">AI25</f>
        <v>0.2</v>
      </c>
      <c r="AJ63" s="191"/>
    </row>
    <row r="64" spans="1:36" x14ac:dyDescent="0.25">
      <c r="A64" s="56"/>
      <c r="B64" s="45"/>
      <c r="C64" s="62"/>
      <c r="D64" s="62"/>
      <c r="G64" s="62"/>
      <c r="H64" s="62"/>
      <c r="K64" s="62"/>
      <c r="L64" s="62"/>
      <c r="O64" s="62"/>
      <c r="P64" s="62"/>
      <c r="S64" s="62"/>
      <c r="T64" s="62"/>
      <c r="W64" s="62"/>
      <c r="X64" s="62"/>
      <c r="AA64" s="62"/>
      <c r="AB64" s="62"/>
      <c r="AE64" s="62"/>
      <c r="AF64" s="62"/>
      <c r="AI64" s="62"/>
      <c r="AJ64" s="69"/>
    </row>
    <row r="65" spans="1:36" s="139" customFormat="1" x14ac:dyDescent="0.25">
      <c r="A65" s="138"/>
      <c r="B65" s="45" t="s">
        <v>295</v>
      </c>
      <c r="C65" s="192">
        <f ca="1">C59+C54*C61</f>
        <v>0.1630034537904087</v>
      </c>
      <c r="D65" s="192"/>
      <c r="E65" s="193">
        <f ca="1">E59+E54*E61</f>
        <v>0.1679579791539208</v>
      </c>
      <c r="F65" s="193"/>
      <c r="G65" s="192">
        <f t="shared" ref="G65" ca="1" si="395">G59+G54*G61</f>
        <v>0.17339170796462841</v>
      </c>
      <c r="H65" s="192"/>
      <c r="I65" s="193">
        <f t="shared" ref="I65" ca="1" si="396">I59+I54*I61</f>
        <v>0.17936529386408734</v>
      </c>
      <c r="J65" s="193"/>
      <c r="K65" s="192">
        <f t="shared" ref="K65" ca="1" si="397">K59+K54*K61</f>
        <v>0.18594966388600212</v>
      </c>
      <c r="L65" s="192"/>
      <c r="M65" s="193">
        <f t="shared" ref="M65" ca="1" si="398">M59+M54*M61</f>
        <v>0.19322828600923794</v>
      </c>
      <c r="N65" s="193"/>
      <c r="O65" s="192">
        <f t="shared" ref="O65" ca="1" si="399">O59+O54*O61</f>
        <v>0.20130006571937265</v>
      </c>
      <c r="P65" s="192"/>
      <c r="Q65" s="193">
        <f t="shared" ref="Q65" ca="1" si="400">Q59+Q54*Q61</f>
        <v>0.21028308503519591</v>
      </c>
      <c r="R65" s="193"/>
      <c r="S65" s="192">
        <f ca="1">S59+S54*S61</f>
        <v>0.2203194844565052</v>
      </c>
      <c r="T65" s="192"/>
      <c r="U65" s="193">
        <f t="shared" ref="U65" ca="1" si="401">U59+U54*U61</f>
        <v>0.23158191732225444</v>
      </c>
      <c r="V65" s="193"/>
      <c r="W65" s="192">
        <f t="shared" ref="W65" ca="1" si="402">W59+W54*W61</f>
        <v>0.24428220097748682</v>
      </c>
      <c r="X65" s="192"/>
      <c r="Y65" s="193">
        <f t="shared" ref="Y65" ca="1" si="403">Y59+Y54*Y61</f>
        <v>0.25868308955074665</v>
      </c>
      <c r="Z65" s="193"/>
      <c r="AA65" s="192">
        <f t="shared" ref="AA65" ca="1" si="404">AA59+AA54*AA61</f>
        <v>0.27511456654264876</v>
      </c>
      <c r="AB65" s="192"/>
      <c r="AC65" s="193">
        <f t="shared" ref="AC65" ca="1" si="405">AC59+AC54*AC61</f>
        <v>0.29399682008202949</v>
      </c>
      <c r="AD65" s="193"/>
      <c r="AE65" s="192">
        <f t="shared" ref="AE65" ca="1" si="406">AE59+AE54*AE61</f>
        <v>0.31587333333333334</v>
      </c>
      <c r="AF65" s="192"/>
      <c r="AG65" s="193">
        <f t="shared" ref="AG65" ca="1" si="407">AG59+AG54*AG61</f>
        <v>0.31587333333333334</v>
      </c>
      <c r="AH65" s="193"/>
      <c r="AI65" s="192">
        <f t="shared" ref="AI65" ca="1" si="408">AI59+AI54*AI61</f>
        <v>0.31587333333333334</v>
      </c>
      <c r="AJ65" s="194"/>
    </row>
    <row r="66" spans="1:36" x14ac:dyDescent="0.25">
      <c r="A66" s="56"/>
      <c r="B66" s="45"/>
      <c r="C66" s="62"/>
      <c r="D66" s="62"/>
      <c r="G66" s="62"/>
      <c r="H66" s="62"/>
      <c r="K66" s="62"/>
      <c r="L66" s="62"/>
      <c r="O66" s="62"/>
      <c r="P66" s="62"/>
      <c r="S66" s="62"/>
      <c r="T66" s="62"/>
      <c r="W66" s="62"/>
      <c r="X66" s="62"/>
      <c r="AA66" s="62"/>
      <c r="AB66" s="62"/>
      <c r="AE66" s="62"/>
      <c r="AF66" s="62"/>
      <c r="AI66" s="62"/>
      <c r="AJ66" s="69"/>
    </row>
    <row r="67" spans="1:36" x14ac:dyDescent="0.25">
      <c r="A67" s="56"/>
      <c r="B67" s="45" t="s">
        <v>296</v>
      </c>
      <c r="C67" s="187">
        <f ca="1">C54</f>
        <v>1.3909404890037154</v>
      </c>
      <c r="D67" s="187"/>
      <c r="E67" s="189">
        <f ca="1">E54</f>
        <v>1.4359816286720073</v>
      </c>
      <c r="F67" s="189"/>
      <c r="G67" s="187">
        <f t="shared" ref="G67" ca="1" si="409">G54</f>
        <v>1.4853791633148037</v>
      </c>
      <c r="H67" s="187"/>
      <c r="I67" s="189">
        <f t="shared" ref="I67" ca="1" si="410">I54</f>
        <v>1.5396844896735211</v>
      </c>
      <c r="J67" s="189"/>
      <c r="K67" s="187">
        <f t="shared" ref="K67" ca="1" si="411">K54</f>
        <v>1.5995423989636555</v>
      </c>
      <c r="L67" s="187"/>
      <c r="M67" s="189">
        <f t="shared" ref="M67" ca="1" si="412">M54</f>
        <v>1.665711690993072</v>
      </c>
      <c r="N67" s="189"/>
      <c r="O67" s="187">
        <f t="shared" ref="O67" ca="1" si="413">O54</f>
        <v>1.7390915065397512</v>
      </c>
      <c r="P67" s="187"/>
      <c r="Q67" s="189">
        <f t="shared" ref="Q67" ca="1" si="414">Q54</f>
        <v>1.8207553185017809</v>
      </c>
      <c r="R67" s="189"/>
      <c r="S67" s="187">
        <f t="shared" ref="S67" ca="1" si="415">S54</f>
        <v>1.9119953132409564</v>
      </c>
      <c r="T67" s="187"/>
      <c r="U67" s="189">
        <f t="shared" ref="U67" ca="1" si="416">U54</f>
        <v>2.0143810665659494</v>
      </c>
      <c r="V67" s="189"/>
      <c r="W67" s="187">
        <f t="shared" ref="W67" ca="1" si="417">W54</f>
        <v>2.1298381907044255</v>
      </c>
      <c r="X67" s="187"/>
      <c r="Y67" s="189">
        <f t="shared" ref="Y67" ca="1" si="418">Y54</f>
        <v>2.2607553595522423</v>
      </c>
      <c r="Z67" s="189"/>
      <c r="AA67" s="187">
        <f t="shared" ref="AA67" ca="1" si="419">AA54</f>
        <v>2.4101324231149888</v>
      </c>
      <c r="AB67" s="187"/>
      <c r="AC67" s="189">
        <f t="shared" ref="AC67" ca="1" si="420">AC54</f>
        <v>2.5817892734729955</v>
      </c>
      <c r="AD67" s="189"/>
      <c r="AE67" s="187">
        <f t="shared" ref="AE67" ca="1" si="421">AE54</f>
        <v>2.7806666666666668</v>
      </c>
      <c r="AF67" s="187"/>
      <c r="AG67" s="189">
        <f t="shared" ref="AG67" ca="1" si="422">AG54</f>
        <v>2.7806666666666668</v>
      </c>
      <c r="AH67" s="189"/>
      <c r="AI67" s="187">
        <f t="shared" ref="AI67" ca="1" si="423">AI54</f>
        <v>2.7806666666666668</v>
      </c>
      <c r="AJ67" s="188"/>
    </row>
    <row r="68" spans="1:36" x14ac:dyDescent="0.25">
      <c r="A68" s="56"/>
      <c r="B68" s="45" t="s">
        <v>297</v>
      </c>
      <c r="C68" s="181">
        <f>Assumptions!E42</f>
        <v>0.2</v>
      </c>
      <c r="D68" s="181"/>
      <c r="E68" s="186">
        <f>E51</f>
        <v>0.7</v>
      </c>
      <c r="F68" s="186"/>
      <c r="G68" s="181">
        <f t="shared" ref="G68" si="424">G51</f>
        <v>0.7</v>
      </c>
      <c r="H68" s="181"/>
      <c r="I68" s="186">
        <f t="shared" ref="I68" si="425">I51</f>
        <v>0.7</v>
      </c>
      <c r="J68" s="186"/>
      <c r="K68" s="181">
        <f t="shared" ref="K68" si="426">K51</f>
        <v>0.7</v>
      </c>
      <c r="L68" s="181"/>
      <c r="M68" s="186">
        <f t="shared" ref="M68" si="427">M51</f>
        <v>0.7</v>
      </c>
      <c r="N68" s="186"/>
      <c r="O68" s="181">
        <f t="shared" ref="O68" si="428">O51</f>
        <v>0.7</v>
      </c>
      <c r="P68" s="181"/>
      <c r="Q68" s="186">
        <f t="shared" ref="Q68" si="429">Q51</f>
        <v>0.7</v>
      </c>
      <c r="R68" s="186"/>
      <c r="S68" s="181">
        <f t="shared" ref="S68" si="430">S51</f>
        <v>0.7</v>
      </c>
      <c r="T68" s="181"/>
      <c r="U68" s="186">
        <f t="shared" ref="U68" si="431">U51</f>
        <v>0.7</v>
      </c>
      <c r="V68" s="186"/>
      <c r="W68" s="181">
        <f t="shared" ref="W68" si="432">W51</f>
        <v>0.7</v>
      </c>
      <c r="X68" s="181"/>
      <c r="Y68" s="186">
        <f t="shared" ref="Y68" si="433">Y51</f>
        <v>0.7</v>
      </c>
      <c r="Z68" s="186"/>
      <c r="AA68" s="181">
        <f t="shared" ref="AA68" si="434">AA51</f>
        <v>0.7</v>
      </c>
      <c r="AB68" s="181"/>
      <c r="AC68" s="186">
        <f t="shared" ref="AC68" si="435">AC51</f>
        <v>0.7</v>
      </c>
      <c r="AD68" s="186"/>
      <c r="AE68" s="181">
        <f t="shared" ref="AE68" si="436">AE51</f>
        <v>0.7</v>
      </c>
      <c r="AF68" s="181"/>
      <c r="AG68" s="186">
        <f t="shared" ref="AG68" si="437">AG51</f>
        <v>0.7</v>
      </c>
      <c r="AH68" s="186"/>
      <c r="AI68" s="181">
        <f t="shared" ref="AI68" si="438">AI51</f>
        <v>0.7</v>
      </c>
      <c r="AJ68" s="182"/>
    </row>
    <row r="69" spans="1:36" x14ac:dyDescent="0.25">
      <c r="A69" s="56"/>
      <c r="B69" s="45" t="s">
        <v>284</v>
      </c>
      <c r="C69" s="181">
        <f>Assumptions!E43</f>
        <v>0.8</v>
      </c>
      <c r="D69" s="181"/>
      <c r="E69" s="186">
        <f>E52</f>
        <v>0.3</v>
      </c>
      <c r="F69" s="186"/>
      <c r="G69" s="181">
        <f t="shared" ref="G69" si="439">G52</f>
        <v>0.3</v>
      </c>
      <c r="H69" s="181"/>
      <c r="I69" s="186">
        <f t="shared" ref="I69" si="440">I52</f>
        <v>0.3</v>
      </c>
      <c r="J69" s="186"/>
      <c r="K69" s="181">
        <f t="shared" ref="K69" si="441">K52</f>
        <v>0.3</v>
      </c>
      <c r="L69" s="181"/>
      <c r="M69" s="186">
        <f t="shared" ref="M69" si="442">M52</f>
        <v>0.3</v>
      </c>
      <c r="N69" s="186"/>
      <c r="O69" s="181">
        <f t="shared" ref="O69" si="443">O52</f>
        <v>0.3</v>
      </c>
      <c r="P69" s="181"/>
      <c r="Q69" s="186">
        <f t="shared" ref="Q69" si="444">Q52</f>
        <v>0.3</v>
      </c>
      <c r="R69" s="186"/>
      <c r="S69" s="181">
        <f t="shared" ref="S69" si="445">S52</f>
        <v>0.3</v>
      </c>
      <c r="T69" s="181"/>
      <c r="U69" s="186">
        <f t="shared" ref="U69" si="446">U52</f>
        <v>0.3</v>
      </c>
      <c r="V69" s="186"/>
      <c r="W69" s="181">
        <f t="shared" ref="W69" si="447">W52</f>
        <v>0.3</v>
      </c>
      <c r="X69" s="181"/>
      <c r="Y69" s="186">
        <f t="shared" ref="Y69" si="448">Y52</f>
        <v>0.3</v>
      </c>
      <c r="Z69" s="186"/>
      <c r="AA69" s="181">
        <f t="shared" ref="AA69" si="449">AA52</f>
        <v>0.3</v>
      </c>
      <c r="AB69" s="181"/>
      <c r="AC69" s="186">
        <f t="shared" ref="AC69" si="450">AC52</f>
        <v>0.3</v>
      </c>
      <c r="AD69" s="186"/>
      <c r="AE69" s="181">
        <f t="shared" ref="AE69" si="451">AE52</f>
        <v>0.3</v>
      </c>
      <c r="AF69" s="181"/>
      <c r="AG69" s="186">
        <f t="shared" ref="AG69" si="452">AG52</f>
        <v>0.3</v>
      </c>
      <c r="AH69" s="186"/>
      <c r="AI69" s="181">
        <f t="shared" ref="AI69" si="453">AI52</f>
        <v>0.3</v>
      </c>
      <c r="AJ69" s="182"/>
    </row>
    <row r="70" spans="1:36" x14ac:dyDescent="0.25">
      <c r="A70" s="56"/>
      <c r="B70" s="45"/>
      <c r="C70" s="62"/>
      <c r="D70" s="62"/>
      <c r="G70" s="62"/>
      <c r="H70" s="62"/>
      <c r="K70" s="62"/>
      <c r="L70" s="62"/>
      <c r="O70" s="62"/>
      <c r="P70" s="62"/>
      <c r="S70" s="62"/>
      <c r="T70" s="62"/>
      <c r="W70" s="62"/>
      <c r="X70" s="62"/>
      <c r="AA70" s="62"/>
      <c r="AB70" s="62"/>
      <c r="AE70" s="62"/>
      <c r="AF70" s="62"/>
      <c r="AI70" s="62"/>
      <c r="AJ70" s="69"/>
    </row>
    <row r="71" spans="1:36" x14ac:dyDescent="0.25">
      <c r="A71" s="61" t="s">
        <v>285</v>
      </c>
      <c r="B71" s="46"/>
      <c r="C71" s="183">
        <f ca="1">C68*(1-C63)*D30+C69*C65</f>
        <v>0.14000276303232698</v>
      </c>
      <c r="D71" s="183"/>
      <c r="E71" s="184">
        <f ca="1">E68*(1-E63)*F30+E69*E65</f>
        <v>8.3987393746176239E-2</v>
      </c>
      <c r="F71" s="184"/>
      <c r="G71" s="183">
        <f t="shared" ref="G71" ca="1" si="454">G68*(1-G63)*H30+G69*G65</f>
        <v>8.5617512389388528E-2</v>
      </c>
      <c r="H71" s="183"/>
      <c r="I71" s="184">
        <f t="shared" ref="I71" ca="1" si="455">I68*(1-I63)*J30+I69*I65</f>
        <v>8.7409588159226198E-2</v>
      </c>
      <c r="J71" s="184"/>
      <c r="K71" s="183">
        <f t="shared" ref="K71" ca="1" si="456">K68*(1-K63)*L30+K69*K65</f>
        <v>8.9384899165800641E-2</v>
      </c>
      <c r="L71" s="183"/>
      <c r="M71" s="184">
        <f t="shared" ref="M71" ca="1" si="457">M68*(1-M63)*N30+M69*M65</f>
        <v>9.1568485802771382E-2</v>
      </c>
      <c r="N71" s="184"/>
      <c r="O71" s="183">
        <f t="shared" ref="O71" ca="1" si="458">O68*(1-O63)*P30+O69*O65</f>
        <v>9.3990019715811779E-2</v>
      </c>
      <c r="P71" s="183"/>
      <c r="Q71" s="184">
        <f t="shared" ref="Q71" ca="1" si="459">Q68*(1-Q63)*R30+Q69*Q65</f>
        <v>9.6684925510558767E-2</v>
      </c>
      <c r="R71" s="184"/>
      <c r="S71" s="183">
        <f t="shared" ref="S71" ca="1" si="460">S68*(1-S63)*T30+S69*S65</f>
        <v>9.9695845336951555E-2</v>
      </c>
      <c r="T71" s="183"/>
      <c r="U71" s="184">
        <f t="shared" ref="U71" ca="1" si="461">U68*(1-U63)*V30+U69*U65</f>
        <v>0.10307457519667632</v>
      </c>
      <c r="V71" s="184"/>
      <c r="W71" s="183">
        <f t="shared" ref="W71" ca="1" si="462">W68*(1-W63)*X30+W69*W65</f>
        <v>0.10688466029324603</v>
      </c>
      <c r="X71" s="183"/>
      <c r="Y71" s="184">
        <f t="shared" ref="Y71" ca="1" si="463">Y68*(1-Y63)*Z30+Y69*Y65</f>
        <v>0.11120492686522399</v>
      </c>
      <c r="Z71" s="184"/>
      <c r="AA71" s="183">
        <f t="shared" ref="AA71" ca="1" si="464">AA68*(1-AA63)*AB30+AA69*AA65</f>
        <v>0.11613436996279464</v>
      </c>
      <c r="AB71" s="183"/>
      <c r="AC71" s="184">
        <f t="shared" ref="AC71" ca="1" si="465">AC68*(1-AC63)*AD30+AC69*AC65</f>
        <v>0.12179904602460884</v>
      </c>
      <c r="AD71" s="184"/>
      <c r="AE71" s="183">
        <f ca="1">AE68*(1-AE63)*AF30+AE69*AE65</f>
        <v>9.4761999999999999E-2</v>
      </c>
      <c r="AF71" s="183"/>
      <c r="AG71" s="184">
        <f t="shared" ref="AG71" ca="1" si="466">AG68*(1-AG63)*AH30+AG69*AG65</f>
        <v>9.4761999999999999E-2</v>
      </c>
      <c r="AH71" s="184"/>
      <c r="AI71" s="183">
        <f t="shared" ref="AI71" ca="1" si="467">AI68*(1-AI63)*AJ30+AI69*AI65</f>
        <v>9.4761999999999999E-2</v>
      </c>
      <c r="AJ71" s="185"/>
    </row>
  </sheetData>
  <mergeCells count="479">
    <mergeCell ref="C51:D51"/>
    <mergeCell ref="C52:D52"/>
    <mergeCell ref="C59:D59"/>
    <mergeCell ref="C60:D60"/>
    <mergeCell ref="C61:D61"/>
    <mergeCell ref="C71:D71"/>
    <mergeCell ref="C54:D54"/>
    <mergeCell ref="C63:D63"/>
    <mergeCell ref="C65:D65"/>
    <mergeCell ref="C67:D67"/>
    <mergeCell ref="C68:D68"/>
    <mergeCell ref="C69:D69"/>
    <mergeCell ref="C23:D23"/>
    <mergeCell ref="C45:D45"/>
    <mergeCell ref="C46:D46"/>
    <mergeCell ref="C47:D47"/>
    <mergeCell ref="C49:D49"/>
    <mergeCell ref="C42:D42"/>
    <mergeCell ref="C25:D25"/>
    <mergeCell ref="C36:D36"/>
    <mergeCell ref="C37:D37"/>
    <mergeCell ref="C38:D38"/>
    <mergeCell ref="C40:D40"/>
    <mergeCell ref="E1:F1"/>
    <mergeCell ref="E6:F6"/>
    <mergeCell ref="E7:F7"/>
    <mergeCell ref="E8:F8"/>
    <mergeCell ref="E10:F10"/>
    <mergeCell ref="C1:D1"/>
    <mergeCell ref="C6:D6"/>
    <mergeCell ref="C7:D7"/>
    <mergeCell ref="C8:D8"/>
    <mergeCell ref="C10:D10"/>
    <mergeCell ref="E54:F54"/>
    <mergeCell ref="E59:F59"/>
    <mergeCell ref="E40:F40"/>
    <mergeCell ref="E42:F42"/>
    <mergeCell ref="E45:F45"/>
    <mergeCell ref="E46:F46"/>
    <mergeCell ref="E47:F47"/>
    <mergeCell ref="E23:F23"/>
    <mergeCell ref="E25:F25"/>
    <mergeCell ref="E36:F36"/>
    <mergeCell ref="E37:F37"/>
    <mergeCell ref="E38:F38"/>
    <mergeCell ref="E68:F68"/>
    <mergeCell ref="E69:F69"/>
    <mergeCell ref="E71:F71"/>
    <mergeCell ref="G1:H1"/>
    <mergeCell ref="I1:J1"/>
    <mergeCell ref="G7:H7"/>
    <mergeCell ref="I7:J7"/>
    <mergeCell ref="G10:H10"/>
    <mergeCell ref="I10:J10"/>
    <mergeCell ref="G25:H25"/>
    <mergeCell ref="I25:J25"/>
    <mergeCell ref="G37:H37"/>
    <mergeCell ref="I37:J37"/>
    <mergeCell ref="G40:H40"/>
    <mergeCell ref="I40:J40"/>
    <mergeCell ref="G45:H45"/>
    <mergeCell ref="E60:F60"/>
    <mergeCell ref="E61:F61"/>
    <mergeCell ref="E63:F63"/>
    <mergeCell ref="E65:F65"/>
    <mergeCell ref="E67:F67"/>
    <mergeCell ref="E49:F49"/>
    <mergeCell ref="E51:F51"/>
    <mergeCell ref="E52:F52"/>
    <mergeCell ref="K7:L7"/>
    <mergeCell ref="M7:N7"/>
    <mergeCell ref="G8:H8"/>
    <mergeCell ref="I8:J8"/>
    <mergeCell ref="K8:L8"/>
    <mergeCell ref="M8:N8"/>
    <mergeCell ref="K1:L1"/>
    <mergeCell ref="M1:N1"/>
    <mergeCell ref="G6:H6"/>
    <mergeCell ref="I6:J6"/>
    <mergeCell ref="K6:L6"/>
    <mergeCell ref="M6:N6"/>
    <mergeCell ref="K25:L25"/>
    <mergeCell ref="M25:N25"/>
    <mergeCell ref="G36:H36"/>
    <mergeCell ref="I36:J36"/>
    <mergeCell ref="K36:L36"/>
    <mergeCell ref="M36:N36"/>
    <mergeCell ref="K10:L10"/>
    <mergeCell ref="M10:N10"/>
    <mergeCell ref="G23:H23"/>
    <mergeCell ref="I23:J23"/>
    <mergeCell ref="K23:L23"/>
    <mergeCell ref="M23:N23"/>
    <mergeCell ref="K40:L40"/>
    <mergeCell ref="M40:N40"/>
    <mergeCell ref="G42:H42"/>
    <mergeCell ref="I42:J42"/>
    <mergeCell ref="K42:L42"/>
    <mergeCell ref="M42:N42"/>
    <mergeCell ref="K37:L37"/>
    <mergeCell ref="M37:N37"/>
    <mergeCell ref="G38:H38"/>
    <mergeCell ref="I38:J38"/>
    <mergeCell ref="K38:L38"/>
    <mergeCell ref="M38:N38"/>
    <mergeCell ref="G47:H47"/>
    <mergeCell ref="I47:J47"/>
    <mergeCell ref="K47:L47"/>
    <mergeCell ref="M47:N47"/>
    <mergeCell ref="G49:H49"/>
    <mergeCell ref="I49:J49"/>
    <mergeCell ref="K49:L49"/>
    <mergeCell ref="M49:N49"/>
    <mergeCell ref="I45:J45"/>
    <mergeCell ref="K45:L45"/>
    <mergeCell ref="M45:N45"/>
    <mergeCell ref="G46:H46"/>
    <mergeCell ref="I46:J46"/>
    <mergeCell ref="K46:L46"/>
    <mergeCell ref="M46:N46"/>
    <mergeCell ref="G54:H54"/>
    <mergeCell ref="I54:J54"/>
    <mergeCell ref="K54:L54"/>
    <mergeCell ref="M54:N54"/>
    <mergeCell ref="G59:H59"/>
    <mergeCell ref="I59:J59"/>
    <mergeCell ref="K59:L59"/>
    <mergeCell ref="M59:N59"/>
    <mergeCell ref="G51:H51"/>
    <mergeCell ref="I51:J51"/>
    <mergeCell ref="K51:L51"/>
    <mergeCell ref="M51:N51"/>
    <mergeCell ref="G52:H52"/>
    <mergeCell ref="I52:J52"/>
    <mergeCell ref="K52:L52"/>
    <mergeCell ref="M52:N52"/>
    <mergeCell ref="G63:H63"/>
    <mergeCell ref="I63:J63"/>
    <mergeCell ref="K63:L63"/>
    <mergeCell ref="M63:N63"/>
    <mergeCell ref="G65:H65"/>
    <mergeCell ref="I65:J65"/>
    <mergeCell ref="K65:L65"/>
    <mergeCell ref="M65:N65"/>
    <mergeCell ref="G60:H60"/>
    <mergeCell ref="I60:J60"/>
    <mergeCell ref="K60:L60"/>
    <mergeCell ref="M60:N60"/>
    <mergeCell ref="G61:H61"/>
    <mergeCell ref="I61:J61"/>
    <mergeCell ref="K61:L61"/>
    <mergeCell ref="M61:N61"/>
    <mergeCell ref="G69:H69"/>
    <mergeCell ref="I69:J69"/>
    <mergeCell ref="K69:L69"/>
    <mergeCell ref="M69:N69"/>
    <mergeCell ref="G71:H71"/>
    <mergeCell ref="I71:J71"/>
    <mergeCell ref="K71:L71"/>
    <mergeCell ref="M71:N71"/>
    <mergeCell ref="G67:H67"/>
    <mergeCell ref="I67:J67"/>
    <mergeCell ref="K67:L67"/>
    <mergeCell ref="M67:N67"/>
    <mergeCell ref="G68:H68"/>
    <mergeCell ref="I68:J68"/>
    <mergeCell ref="K68:L68"/>
    <mergeCell ref="M68:N68"/>
    <mergeCell ref="AI1:AJ1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Y1:Z1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AI7:AJ7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Y7:Z7"/>
    <mergeCell ref="AA7:AB7"/>
    <mergeCell ref="AC7:AD7"/>
    <mergeCell ref="AE7:AF7"/>
    <mergeCell ref="AG7:AH7"/>
    <mergeCell ref="O7:P7"/>
    <mergeCell ref="Q7:R7"/>
    <mergeCell ref="S7:T7"/>
    <mergeCell ref="U7:V7"/>
    <mergeCell ref="W7:X7"/>
    <mergeCell ref="AI10:AJ10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Y10:Z10"/>
    <mergeCell ref="AA10:AB10"/>
    <mergeCell ref="AC10:AD10"/>
    <mergeCell ref="AE10:AF10"/>
    <mergeCell ref="AG10:AH10"/>
    <mergeCell ref="O10:P10"/>
    <mergeCell ref="Q10:R10"/>
    <mergeCell ref="S10:T10"/>
    <mergeCell ref="U10:V10"/>
    <mergeCell ref="W10:X10"/>
    <mergeCell ref="AI25:AJ25"/>
    <mergeCell ref="O36:P36"/>
    <mergeCell ref="Q36:R36"/>
    <mergeCell ref="S36:T36"/>
    <mergeCell ref="U36:V36"/>
    <mergeCell ref="W36:X36"/>
    <mergeCell ref="Y36:Z36"/>
    <mergeCell ref="AA36:AB36"/>
    <mergeCell ref="AC36:AD36"/>
    <mergeCell ref="AE36:AF36"/>
    <mergeCell ref="AG36:AH36"/>
    <mergeCell ref="AI36:AJ36"/>
    <mergeCell ref="Y25:Z25"/>
    <mergeCell ref="AA25:AB25"/>
    <mergeCell ref="AC25:AD25"/>
    <mergeCell ref="AE25:AF25"/>
    <mergeCell ref="AG25:AH25"/>
    <mergeCell ref="O25:P25"/>
    <mergeCell ref="Q25:R25"/>
    <mergeCell ref="S25:T25"/>
    <mergeCell ref="U25:V25"/>
    <mergeCell ref="W25:X25"/>
    <mergeCell ref="AI37:AJ37"/>
    <mergeCell ref="O38:P38"/>
    <mergeCell ref="Q38:R38"/>
    <mergeCell ref="S38:T38"/>
    <mergeCell ref="U38:V38"/>
    <mergeCell ref="W38:X38"/>
    <mergeCell ref="Y38:Z38"/>
    <mergeCell ref="AA38:AB38"/>
    <mergeCell ref="AC38:AD38"/>
    <mergeCell ref="AE38:AF38"/>
    <mergeCell ref="AG38:AH38"/>
    <mergeCell ref="AI38:AJ38"/>
    <mergeCell ref="Y37:Z37"/>
    <mergeCell ref="AA37:AB37"/>
    <mergeCell ref="AC37:AD37"/>
    <mergeCell ref="AE37:AF37"/>
    <mergeCell ref="AG37:AH37"/>
    <mergeCell ref="O37:P37"/>
    <mergeCell ref="Q37:R37"/>
    <mergeCell ref="S37:T37"/>
    <mergeCell ref="U37:V37"/>
    <mergeCell ref="W37:X37"/>
    <mergeCell ref="AI40:AJ40"/>
    <mergeCell ref="O42:P42"/>
    <mergeCell ref="Q42:R42"/>
    <mergeCell ref="S42:T42"/>
    <mergeCell ref="U42:V42"/>
    <mergeCell ref="W42:X42"/>
    <mergeCell ref="Y42:Z42"/>
    <mergeCell ref="AA42:AB42"/>
    <mergeCell ref="AC42:AD42"/>
    <mergeCell ref="AE42:AF42"/>
    <mergeCell ref="AG42:AH42"/>
    <mergeCell ref="AI42:AJ42"/>
    <mergeCell ref="Y40:Z40"/>
    <mergeCell ref="AA40:AB40"/>
    <mergeCell ref="AC40:AD40"/>
    <mergeCell ref="AE40:AF40"/>
    <mergeCell ref="AG40:AH40"/>
    <mergeCell ref="O40:P40"/>
    <mergeCell ref="Q40:R40"/>
    <mergeCell ref="S40:T40"/>
    <mergeCell ref="U40:V40"/>
    <mergeCell ref="W40:X40"/>
    <mergeCell ref="AI45:AJ45"/>
    <mergeCell ref="O46:P46"/>
    <mergeCell ref="Q46:R46"/>
    <mergeCell ref="S46:T46"/>
    <mergeCell ref="U46:V46"/>
    <mergeCell ref="W46:X46"/>
    <mergeCell ref="Y46:Z46"/>
    <mergeCell ref="AA46:AB46"/>
    <mergeCell ref="AC46:AD46"/>
    <mergeCell ref="AE46:AF46"/>
    <mergeCell ref="AG46:AH46"/>
    <mergeCell ref="AI46:AJ46"/>
    <mergeCell ref="Y45:Z45"/>
    <mergeCell ref="AA45:AB45"/>
    <mergeCell ref="AC45:AD45"/>
    <mergeCell ref="AE45:AF45"/>
    <mergeCell ref="AG45:AH45"/>
    <mergeCell ref="O45:P45"/>
    <mergeCell ref="Q45:R45"/>
    <mergeCell ref="S45:T45"/>
    <mergeCell ref="U45:V45"/>
    <mergeCell ref="W45:X45"/>
    <mergeCell ref="AI47:AJ47"/>
    <mergeCell ref="O49:P49"/>
    <mergeCell ref="Q49:R49"/>
    <mergeCell ref="S49:T49"/>
    <mergeCell ref="U49:V49"/>
    <mergeCell ref="W49:X49"/>
    <mergeCell ref="Y49:Z49"/>
    <mergeCell ref="AA49:AB49"/>
    <mergeCell ref="AC49:AD49"/>
    <mergeCell ref="AE49:AF49"/>
    <mergeCell ref="AG49:AH49"/>
    <mergeCell ref="AI49:AJ49"/>
    <mergeCell ref="Y47:Z47"/>
    <mergeCell ref="AA47:AB47"/>
    <mergeCell ref="AC47:AD47"/>
    <mergeCell ref="AE47:AF47"/>
    <mergeCell ref="AG47:AH47"/>
    <mergeCell ref="O47:P47"/>
    <mergeCell ref="Q47:R47"/>
    <mergeCell ref="S47:T47"/>
    <mergeCell ref="U47:V47"/>
    <mergeCell ref="W47:X47"/>
    <mergeCell ref="AI51:AJ51"/>
    <mergeCell ref="O52:P52"/>
    <mergeCell ref="Q52:R52"/>
    <mergeCell ref="S52:T52"/>
    <mergeCell ref="U52:V52"/>
    <mergeCell ref="W52:X52"/>
    <mergeCell ref="Y52:Z52"/>
    <mergeCell ref="AA52:AB52"/>
    <mergeCell ref="AC52:AD52"/>
    <mergeCell ref="AE52:AF52"/>
    <mergeCell ref="AG52:AH52"/>
    <mergeCell ref="AI52:AJ52"/>
    <mergeCell ref="Y51:Z51"/>
    <mergeCell ref="AA51:AB51"/>
    <mergeCell ref="AC51:AD51"/>
    <mergeCell ref="AE51:AF51"/>
    <mergeCell ref="AG51:AH51"/>
    <mergeCell ref="O51:P51"/>
    <mergeCell ref="Q51:R51"/>
    <mergeCell ref="S51:T51"/>
    <mergeCell ref="U51:V51"/>
    <mergeCell ref="W51:X51"/>
    <mergeCell ref="AI54:AJ54"/>
    <mergeCell ref="O59:P59"/>
    <mergeCell ref="Q59:R59"/>
    <mergeCell ref="S59:T59"/>
    <mergeCell ref="U59:V59"/>
    <mergeCell ref="W59:X59"/>
    <mergeCell ref="Y59:Z59"/>
    <mergeCell ref="AA59:AB59"/>
    <mergeCell ref="AC59:AD59"/>
    <mergeCell ref="AE59:AF59"/>
    <mergeCell ref="AG59:AH59"/>
    <mergeCell ref="AI59:AJ59"/>
    <mergeCell ref="Y54:Z54"/>
    <mergeCell ref="AA54:AB54"/>
    <mergeCell ref="AC54:AD54"/>
    <mergeCell ref="AE54:AF54"/>
    <mergeCell ref="AG54:AH54"/>
    <mergeCell ref="O54:P54"/>
    <mergeCell ref="Q54:R54"/>
    <mergeCell ref="S54:T54"/>
    <mergeCell ref="U54:V54"/>
    <mergeCell ref="W54:X54"/>
    <mergeCell ref="AI60:AJ60"/>
    <mergeCell ref="O61:P61"/>
    <mergeCell ref="Q61:R61"/>
    <mergeCell ref="S61:T61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Y60:Z60"/>
    <mergeCell ref="AA60:AB60"/>
    <mergeCell ref="AC60:AD60"/>
    <mergeCell ref="AE60:AF60"/>
    <mergeCell ref="AG60:AH60"/>
    <mergeCell ref="O60:P60"/>
    <mergeCell ref="Q60:R60"/>
    <mergeCell ref="S60:T60"/>
    <mergeCell ref="U60:V60"/>
    <mergeCell ref="W60:X60"/>
    <mergeCell ref="AI63:AJ63"/>
    <mergeCell ref="O65:P65"/>
    <mergeCell ref="Q65:R65"/>
    <mergeCell ref="S65:T65"/>
    <mergeCell ref="U65:V65"/>
    <mergeCell ref="W65:X65"/>
    <mergeCell ref="Y65:Z65"/>
    <mergeCell ref="AA65:AB65"/>
    <mergeCell ref="AC65:AD65"/>
    <mergeCell ref="AE65:AF65"/>
    <mergeCell ref="AG65:AH65"/>
    <mergeCell ref="AI65:AJ65"/>
    <mergeCell ref="Y63:Z63"/>
    <mergeCell ref="AA63:AB63"/>
    <mergeCell ref="AC63:AD63"/>
    <mergeCell ref="AE63:AF63"/>
    <mergeCell ref="AG63:AH63"/>
    <mergeCell ref="O63:P63"/>
    <mergeCell ref="Q63:R63"/>
    <mergeCell ref="S63:T63"/>
    <mergeCell ref="U63:V63"/>
    <mergeCell ref="W63:X63"/>
    <mergeCell ref="W69:X69"/>
    <mergeCell ref="AI67:AJ67"/>
    <mergeCell ref="O68:P68"/>
    <mergeCell ref="Q68:R68"/>
    <mergeCell ref="S68:T68"/>
    <mergeCell ref="U68:V68"/>
    <mergeCell ref="W68:X68"/>
    <mergeCell ref="Y68:Z68"/>
    <mergeCell ref="AA68:AB68"/>
    <mergeCell ref="AC68:AD68"/>
    <mergeCell ref="AE68:AF68"/>
    <mergeCell ref="AG68:AH68"/>
    <mergeCell ref="AI68:AJ68"/>
    <mergeCell ref="Y67:Z67"/>
    <mergeCell ref="AA67:AB67"/>
    <mergeCell ref="AC67:AD67"/>
    <mergeCell ref="AE67:AF67"/>
    <mergeCell ref="AG67:AH67"/>
    <mergeCell ref="O67:P67"/>
    <mergeCell ref="Q67:R67"/>
    <mergeCell ref="S67:T67"/>
    <mergeCell ref="U67:V67"/>
    <mergeCell ref="W67:X67"/>
    <mergeCell ref="A12:B13"/>
    <mergeCell ref="A56:B57"/>
    <mergeCell ref="A3:B4"/>
    <mergeCell ref="AI69:AJ69"/>
    <mergeCell ref="O71:P71"/>
    <mergeCell ref="Q71:R71"/>
    <mergeCell ref="S71:T71"/>
    <mergeCell ref="U71:V71"/>
    <mergeCell ref="W71:X71"/>
    <mergeCell ref="Y71:Z71"/>
    <mergeCell ref="AA71:AB71"/>
    <mergeCell ref="AC71:AD71"/>
    <mergeCell ref="AE71:AF71"/>
    <mergeCell ref="AG71:AH71"/>
    <mergeCell ref="AI71:AJ71"/>
    <mergeCell ref="Y69:Z69"/>
    <mergeCell ref="AA69:AB69"/>
    <mergeCell ref="AC69:AD69"/>
    <mergeCell ref="AE69:AF69"/>
    <mergeCell ref="AG69:AH69"/>
    <mergeCell ref="O69:P69"/>
    <mergeCell ref="Q69:R69"/>
    <mergeCell ref="S69:T69"/>
    <mergeCell ref="U69:V6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5" zoomScale="80" zoomScaleNormal="80" workbookViewId="0">
      <selection activeCell="E32" sqref="E32"/>
    </sheetView>
  </sheetViews>
  <sheetFormatPr defaultColWidth="8.85546875" defaultRowHeight="15" x14ac:dyDescent="0.25"/>
  <cols>
    <col min="3" max="3" width="24.85546875" customWidth="1"/>
    <col min="4" max="4" width="16.42578125" style="13" bestFit="1" customWidth="1"/>
    <col min="5" max="5" width="14.7109375" style="13" bestFit="1" customWidth="1"/>
    <col min="6" max="21" width="16.7109375" style="13" bestFit="1" customWidth="1"/>
    <col min="22" max="22" width="12.28515625" customWidth="1"/>
    <col min="23" max="23" width="13.85546875" bestFit="1" customWidth="1"/>
  </cols>
  <sheetData>
    <row r="1" spans="1:23" x14ac:dyDescent="0.25">
      <c r="A1" s="158" t="s">
        <v>312</v>
      </c>
      <c r="B1" s="55"/>
      <c r="C1" s="159"/>
      <c r="D1" s="160"/>
      <c r="E1" s="161"/>
      <c r="F1" s="160"/>
      <c r="G1" s="161"/>
      <c r="H1" s="160"/>
      <c r="I1" s="161"/>
      <c r="J1" s="160"/>
      <c r="K1" s="161"/>
      <c r="L1" s="160"/>
      <c r="M1" s="161"/>
      <c r="N1" s="160"/>
      <c r="O1" s="161"/>
      <c r="P1" s="160"/>
      <c r="Q1" s="161"/>
      <c r="R1" s="160"/>
      <c r="S1" s="161"/>
      <c r="T1" s="160"/>
      <c r="U1" s="162"/>
    </row>
    <row r="2" spans="1:23" x14ac:dyDescent="0.25">
      <c r="A2" s="57"/>
      <c r="B2" s="45"/>
      <c r="C2" s="154"/>
      <c r="D2" s="146">
        <v>2011</v>
      </c>
      <c r="E2" s="147">
        <v>2012</v>
      </c>
      <c r="F2" s="146">
        <v>2013</v>
      </c>
      <c r="G2" s="147">
        <v>2014</v>
      </c>
      <c r="H2" s="146">
        <v>2015</v>
      </c>
      <c r="I2" s="147">
        <v>2016</v>
      </c>
      <c r="J2" s="146">
        <v>2017</v>
      </c>
      <c r="K2" s="147">
        <v>2018</v>
      </c>
      <c r="L2" s="146">
        <v>2019</v>
      </c>
      <c r="M2" s="147">
        <v>2020</v>
      </c>
      <c r="N2" s="146">
        <v>2021</v>
      </c>
      <c r="O2" s="147">
        <v>2022</v>
      </c>
      <c r="P2" s="146">
        <v>2023</v>
      </c>
      <c r="Q2" s="147">
        <v>2024</v>
      </c>
      <c r="R2" s="146">
        <v>2025</v>
      </c>
      <c r="S2" s="147">
        <v>2026</v>
      </c>
      <c r="T2" s="146">
        <v>2027</v>
      </c>
      <c r="U2" s="148">
        <v>2028</v>
      </c>
    </row>
    <row r="3" spans="1:23" x14ac:dyDescent="0.25">
      <c r="A3" s="57" t="s">
        <v>313</v>
      </c>
      <c r="B3" s="45"/>
      <c r="C3" s="154"/>
      <c r="D3" s="40"/>
      <c r="E3" s="76"/>
      <c r="F3" s="40"/>
      <c r="G3" s="76"/>
      <c r="H3" s="40"/>
      <c r="I3" s="76"/>
      <c r="J3" s="40"/>
      <c r="K3" s="76"/>
      <c r="L3" s="40"/>
      <c r="M3" s="76"/>
      <c r="N3" s="40"/>
      <c r="O3" s="76"/>
      <c r="P3" s="40"/>
      <c r="Q3" s="76"/>
      <c r="R3" s="40"/>
      <c r="S3" s="76"/>
      <c r="T3" s="40"/>
      <c r="U3" s="83"/>
    </row>
    <row r="4" spans="1:23" x14ac:dyDescent="0.25">
      <c r="A4" s="56"/>
      <c r="B4" s="45" t="s">
        <v>314</v>
      </c>
      <c r="C4" s="154"/>
      <c r="D4" s="40"/>
      <c r="E4" s="76">
        <f>'Financial Statements'!D15</f>
        <v>28350</v>
      </c>
      <c r="F4" s="40">
        <f>'Financial Statements'!G15</f>
        <v>30222.517500000002</v>
      </c>
      <c r="G4" s="76">
        <f>'Financial Statements'!J15</f>
        <v>32218.714780875001</v>
      </c>
      <c r="H4" s="40">
        <f>'Financial Statements'!M15</f>
        <v>34346.760892151797</v>
      </c>
      <c r="I4" s="76">
        <f>'Financial Statements'!P15</f>
        <v>36615.364449078421</v>
      </c>
      <c r="J4" s="40">
        <f>'Financial Statements'!S15</f>
        <v>39033.809270940037</v>
      </c>
      <c r="K4" s="76">
        <f>'Financial Statements'!V15</f>
        <v>41611.992373285611</v>
      </c>
      <c r="L4" s="40">
        <f>'Financial Statements'!Y15</f>
        <v>44360.464469541126</v>
      </c>
      <c r="M4" s="76">
        <f>'Financial Statements'!AB15</f>
        <v>47290.473147754325</v>
      </c>
      <c r="N4" s="40">
        <f>'Financial Statements'!AE15</f>
        <v>50414.008899163513</v>
      </c>
      <c r="O4" s="76">
        <f>'Financial Statements'!AH15</f>
        <v>53743.854186953249</v>
      </c>
      <c r="P4" s="40">
        <f>'Financial Statements'!AK15</f>
        <v>57293.635756001517</v>
      </c>
      <c r="Q4" s="76">
        <f>'Financial Statements'!AN15</f>
        <v>61077.880397685396</v>
      </c>
      <c r="R4" s="40">
        <f>'Financial Statements'!AQ15</f>
        <v>65112.074397952558</v>
      </c>
      <c r="S4" s="76">
        <f>'Financial Statements'!AT15</f>
        <v>69412.726911937294</v>
      </c>
      <c r="T4" s="40">
        <f>'Financial Statements'!AW15</f>
        <v>73997.437524470733</v>
      </c>
      <c r="U4" s="83">
        <f>'Financial Statements'!AZ15</f>
        <v>84143.966157826188</v>
      </c>
    </row>
    <row r="5" spans="1:23" x14ac:dyDescent="0.25">
      <c r="A5" s="56"/>
      <c r="B5" s="45" t="s">
        <v>315</v>
      </c>
      <c r="C5" s="154"/>
      <c r="D5" s="40"/>
      <c r="E5" s="145">
        <f>'Financial Statements'!D17</f>
        <v>11950</v>
      </c>
      <c r="F5" s="144">
        <f>'Financial Statements'!G17</f>
        <v>11950</v>
      </c>
      <c r="G5" s="145">
        <f>'Financial Statements'!J17</f>
        <v>11950</v>
      </c>
      <c r="H5" s="144">
        <f>'Financial Statements'!M17</f>
        <v>11950</v>
      </c>
      <c r="I5" s="145">
        <f>'Financial Statements'!P17</f>
        <v>11950</v>
      </c>
      <c r="J5" s="144">
        <f>'Financial Statements'!S17</f>
        <v>11950</v>
      </c>
      <c r="K5" s="145">
        <f>'Financial Statements'!V17</f>
        <v>11950</v>
      </c>
      <c r="L5" s="144">
        <f>'Financial Statements'!Y17</f>
        <v>11950</v>
      </c>
      <c r="M5" s="145">
        <f>'Financial Statements'!AB17</f>
        <v>11950</v>
      </c>
      <c r="N5" s="144">
        <f>'Financial Statements'!AE17</f>
        <v>11950</v>
      </c>
      <c r="O5" s="145">
        <f>'Financial Statements'!AH17</f>
        <v>11950</v>
      </c>
      <c r="P5" s="144">
        <f>'Financial Statements'!AK17</f>
        <v>11950</v>
      </c>
      <c r="Q5" s="145">
        <f>'Financial Statements'!AN17</f>
        <v>11950</v>
      </c>
      <c r="R5" s="144">
        <f>'Financial Statements'!AQ17</f>
        <v>11950</v>
      </c>
      <c r="S5" s="145">
        <f>'Financial Statements'!AT17</f>
        <v>11950</v>
      </c>
      <c r="T5" s="144">
        <f>'Financial Statements'!AW17</f>
        <v>11950</v>
      </c>
      <c r="U5" s="86">
        <f>'Financial Statements'!AZ17</f>
        <v>11950</v>
      </c>
    </row>
    <row r="6" spans="1:23" x14ac:dyDescent="0.25">
      <c r="A6" s="56"/>
      <c r="B6" s="45" t="s">
        <v>316</v>
      </c>
      <c r="C6" s="154"/>
      <c r="D6" s="172"/>
      <c r="E6" s="76">
        <f>E4-E5</f>
        <v>16400</v>
      </c>
      <c r="F6" s="40">
        <f t="shared" ref="F6:U6" si="0">F4-F5</f>
        <v>18272.517500000002</v>
      </c>
      <c r="G6" s="76">
        <f t="shared" si="0"/>
        <v>20268.714780875001</v>
      </c>
      <c r="H6" s="40">
        <f t="shared" si="0"/>
        <v>22396.760892151797</v>
      </c>
      <c r="I6" s="76">
        <f t="shared" si="0"/>
        <v>24665.364449078421</v>
      </c>
      <c r="J6" s="40">
        <f t="shared" si="0"/>
        <v>27083.809270940037</v>
      </c>
      <c r="K6" s="76">
        <f t="shared" si="0"/>
        <v>29661.992373285611</v>
      </c>
      <c r="L6" s="40">
        <f t="shared" si="0"/>
        <v>32410.464469541126</v>
      </c>
      <c r="M6" s="76">
        <f t="shared" si="0"/>
        <v>35340.473147754325</v>
      </c>
      <c r="N6" s="40">
        <f t="shared" si="0"/>
        <v>38464.008899163513</v>
      </c>
      <c r="O6" s="76">
        <f t="shared" si="0"/>
        <v>41793.854186953249</v>
      </c>
      <c r="P6" s="40">
        <f t="shared" si="0"/>
        <v>45343.635756001517</v>
      </c>
      <c r="Q6" s="76">
        <f t="shared" si="0"/>
        <v>49127.880397685396</v>
      </c>
      <c r="R6" s="40">
        <f t="shared" si="0"/>
        <v>53162.074397952558</v>
      </c>
      <c r="S6" s="76">
        <f t="shared" si="0"/>
        <v>57462.726911937294</v>
      </c>
      <c r="T6" s="40">
        <f t="shared" si="0"/>
        <v>62047.437524470733</v>
      </c>
      <c r="U6" s="83">
        <f t="shared" si="0"/>
        <v>72193.966157826188</v>
      </c>
    </row>
    <row r="7" spans="1:23" x14ac:dyDescent="0.25">
      <c r="A7" s="56"/>
      <c r="B7" s="45" t="s">
        <v>317</v>
      </c>
      <c r="C7" s="154"/>
      <c r="D7" s="40"/>
      <c r="E7" s="145">
        <f>E6*Assumptions!$C$36</f>
        <v>3280</v>
      </c>
      <c r="F7" s="144">
        <f>F6*Assumptions!$C$36</f>
        <v>3654.5035000000007</v>
      </c>
      <c r="G7" s="145">
        <f>G6*Assumptions!$C$36</f>
        <v>4053.7429561750005</v>
      </c>
      <c r="H7" s="144">
        <f>H6*Assumptions!$C$36</f>
        <v>4479.3521784303593</v>
      </c>
      <c r="I7" s="145">
        <f>I6*Assumptions!$C$36</f>
        <v>4933.0728898156849</v>
      </c>
      <c r="J7" s="144">
        <f>J6*Assumptions!$C$36</f>
        <v>5416.7618541880074</v>
      </c>
      <c r="K7" s="145">
        <f>K6*Assumptions!$C$36</f>
        <v>5932.3984746571223</v>
      </c>
      <c r="L7" s="144">
        <f>L6*Assumptions!$C$36</f>
        <v>6482.092893908226</v>
      </c>
      <c r="M7" s="145">
        <f>M6*Assumptions!$C$36</f>
        <v>7068.0946295508656</v>
      </c>
      <c r="N7" s="144">
        <f>N6*Assumptions!$C$36</f>
        <v>7692.8017798327028</v>
      </c>
      <c r="O7" s="145">
        <f>O6*Assumptions!$C$36</f>
        <v>8358.7708373906498</v>
      </c>
      <c r="P7" s="144">
        <f>P6*Assumptions!$C$36</f>
        <v>9068.7271512003044</v>
      </c>
      <c r="Q7" s="145">
        <f>Q6*Assumptions!$C$36</f>
        <v>9825.5760795370807</v>
      </c>
      <c r="R7" s="144">
        <f>R6*Assumptions!$C$36</f>
        <v>10632.414879590513</v>
      </c>
      <c r="S7" s="145">
        <f>S6*Assumptions!$C$36</f>
        <v>11492.54538238746</v>
      </c>
      <c r="T7" s="144">
        <f>T6*Assumptions!$C$36</f>
        <v>12409.487504894147</v>
      </c>
      <c r="U7" s="86">
        <f>U6*Assumptions!$C$36</f>
        <v>14438.793231565238</v>
      </c>
    </row>
    <row r="8" spans="1:23" x14ac:dyDescent="0.25">
      <c r="A8" s="56"/>
      <c r="B8" s="153" t="s">
        <v>318</v>
      </c>
      <c r="C8" s="154"/>
      <c r="D8" s="172"/>
      <c r="E8" s="76">
        <f>E6-E7+E5</f>
        <v>25070</v>
      </c>
      <c r="F8" s="40">
        <f t="shared" ref="F8:U8" si="1">F6-F7+F5</f>
        <v>26568.014000000003</v>
      </c>
      <c r="G8" s="76">
        <f t="shared" si="1"/>
        <v>28164.971824700002</v>
      </c>
      <c r="H8" s="40">
        <f t="shared" si="1"/>
        <v>29867.408713721437</v>
      </c>
      <c r="I8" s="76">
        <f t="shared" si="1"/>
        <v>31682.291559262736</v>
      </c>
      <c r="J8" s="40">
        <f t="shared" si="1"/>
        <v>33617.04741675203</v>
      </c>
      <c r="K8" s="76">
        <f t="shared" si="1"/>
        <v>35679.593898628489</v>
      </c>
      <c r="L8" s="40">
        <f t="shared" si="1"/>
        <v>37878.371575632904</v>
      </c>
      <c r="M8" s="76">
        <f t="shared" si="1"/>
        <v>40222.378518203463</v>
      </c>
      <c r="N8" s="40">
        <f t="shared" si="1"/>
        <v>42721.207119330807</v>
      </c>
      <c r="O8" s="76">
        <f t="shared" si="1"/>
        <v>45385.083349562599</v>
      </c>
      <c r="P8" s="40">
        <f t="shared" si="1"/>
        <v>48224.90860480121</v>
      </c>
      <c r="Q8" s="76">
        <f t="shared" si="1"/>
        <v>51252.304318148315</v>
      </c>
      <c r="R8" s="40">
        <f t="shared" si="1"/>
        <v>54479.659518362045</v>
      </c>
      <c r="S8" s="76">
        <f t="shared" si="1"/>
        <v>57920.181529549838</v>
      </c>
      <c r="T8" s="40">
        <f t="shared" si="1"/>
        <v>61587.950019576587</v>
      </c>
      <c r="U8" s="83">
        <f t="shared" si="1"/>
        <v>69705.172926260944</v>
      </c>
    </row>
    <row r="9" spans="1:23" x14ac:dyDescent="0.25">
      <c r="A9" s="56"/>
      <c r="B9" s="153"/>
      <c r="C9" s="154"/>
      <c r="D9" s="40"/>
      <c r="E9" s="76"/>
      <c r="F9" s="40"/>
      <c r="G9" s="76"/>
      <c r="H9" s="40"/>
      <c r="I9" s="76"/>
      <c r="J9" s="40"/>
      <c r="K9" s="76"/>
      <c r="L9" s="40"/>
      <c r="M9" s="76"/>
      <c r="N9" s="40"/>
      <c r="O9" s="76"/>
      <c r="P9" s="40"/>
      <c r="Q9" s="76"/>
      <c r="R9" s="40"/>
      <c r="S9" s="76"/>
      <c r="T9" s="40"/>
      <c r="U9" s="83"/>
    </row>
    <row r="10" spans="1:23" x14ac:dyDescent="0.25">
      <c r="A10" s="57" t="s">
        <v>319</v>
      </c>
      <c r="B10" s="45"/>
      <c r="C10" s="154"/>
      <c r="D10" s="40"/>
      <c r="E10" s="76"/>
      <c r="F10" s="40"/>
      <c r="G10" s="76"/>
      <c r="H10" s="40"/>
      <c r="I10" s="76"/>
      <c r="J10" s="40"/>
      <c r="K10" s="76"/>
      <c r="L10" s="40"/>
      <c r="M10" s="76"/>
      <c r="N10" s="40"/>
      <c r="O10" s="76"/>
      <c r="P10" s="40"/>
      <c r="Q10" s="76"/>
      <c r="R10" s="40"/>
      <c r="S10" s="76"/>
      <c r="T10" s="40"/>
      <c r="U10" s="83"/>
    </row>
    <row r="11" spans="1:23" x14ac:dyDescent="0.25">
      <c r="A11" s="56"/>
      <c r="B11" s="45" t="s">
        <v>327</v>
      </c>
      <c r="C11" s="154"/>
      <c r="D11" s="40">
        <f>-'Financial Statements'!D34</f>
        <v>-239000</v>
      </c>
      <c r="E11" s="76"/>
      <c r="F11" s="40"/>
      <c r="G11" s="76"/>
      <c r="H11" s="40"/>
      <c r="I11" s="76"/>
      <c r="J11" s="40"/>
      <c r="K11" s="76"/>
      <c r="L11" s="40"/>
      <c r="M11" s="76"/>
      <c r="N11" s="40"/>
      <c r="O11" s="76"/>
      <c r="P11" s="40"/>
      <c r="Q11" s="76"/>
      <c r="R11" s="40"/>
      <c r="S11" s="76"/>
      <c r="T11" s="40"/>
      <c r="U11" s="83"/>
    </row>
    <row r="12" spans="1:23" x14ac:dyDescent="0.25">
      <c r="A12" s="56"/>
      <c r="B12" s="45" t="s">
        <v>328</v>
      </c>
      <c r="C12" s="154"/>
      <c r="D12" s="40"/>
      <c r="E12" s="76"/>
      <c r="F12" s="40"/>
      <c r="G12" s="76"/>
      <c r="H12" s="40"/>
      <c r="I12" s="76"/>
      <c r="J12" s="40"/>
      <c r="K12" s="76"/>
      <c r="L12" s="40"/>
      <c r="M12" s="76"/>
      <c r="N12" s="40"/>
      <c r="O12" s="76"/>
      <c r="P12" s="40"/>
      <c r="Q12" s="76"/>
      <c r="R12" s="40"/>
      <c r="S12" s="76"/>
      <c r="T12" s="40"/>
      <c r="U12" s="83">
        <f>W12*Assumptions!C45</f>
        <v>35850</v>
      </c>
      <c r="V12" t="s">
        <v>329</v>
      </c>
      <c r="W12" s="14">
        <f>-D11-SUM('Financial Statements'!D17:AZ17)</f>
        <v>35850</v>
      </c>
    </row>
    <row r="13" spans="1:23" x14ac:dyDescent="0.25">
      <c r="A13" s="56"/>
      <c r="B13" s="45" t="s">
        <v>331</v>
      </c>
      <c r="C13" s="154"/>
      <c r="D13" s="40"/>
      <c r="E13" s="76"/>
      <c r="F13" s="40"/>
      <c r="G13" s="76"/>
      <c r="H13" s="40"/>
      <c r="I13" s="76"/>
      <c r="J13" s="40"/>
      <c r="K13" s="76"/>
      <c r="L13" s="40"/>
      <c r="M13" s="76"/>
      <c r="N13" s="40"/>
      <c r="O13" s="76"/>
      <c r="P13" s="40"/>
      <c r="Q13" s="76"/>
      <c r="R13" s="40"/>
      <c r="S13" s="76"/>
      <c r="T13" s="40"/>
      <c r="U13" s="83">
        <f>IF(U12&gt;W12,-Assumptions!C36*('FCF, NPV, IRR'!U12-'FCF, NPV, IRR'!W12),0)</f>
        <v>0</v>
      </c>
    </row>
    <row r="14" spans="1:23" x14ac:dyDescent="0.25">
      <c r="A14" s="57" t="s">
        <v>320</v>
      </c>
      <c r="B14" s="45"/>
      <c r="C14" s="154"/>
      <c r="D14" s="40"/>
      <c r="E14" s="76"/>
      <c r="F14" s="40"/>
      <c r="G14" s="76"/>
      <c r="H14" s="40"/>
      <c r="I14" s="76"/>
      <c r="J14" s="40"/>
      <c r="K14" s="76"/>
      <c r="L14" s="40"/>
      <c r="M14" s="76"/>
      <c r="N14" s="40"/>
      <c r="O14" s="76"/>
      <c r="P14" s="40"/>
      <c r="Q14" s="76"/>
      <c r="R14" s="40"/>
      <c r="S14" s="76"/>
      <c r="T14" s="40"/>
      <c r="U14" s="83"/>
    </row>
    <row r="15" spans="1:23" x14ac:dyDescent="0.25">
      <c r="A15" s="56"/>
      <c r="B15" s="141" t="s">
        <v>321</v>
      </c>
      <c r="C15" s="154"/>
      <c r="D15" s="40"/>
      <c r="E15" s="76">
        <f>Assumptions!D37-Assumptions!C37</f>
        <v>-500</v>
      </c>
      <c r="F15" s="40">
        <v>0</v>
      </c>
      <c r="G15" s="40">
        <v>0</v>
      </c>
      <c r="H15" s="40">
        <v>0</v>
      </c>
      <c r="I15" s="76">
        <v>0</v>
      </c>
      <c r="J15" s="40">
        <v>0</v>
      </c>
      <c r="K15" s="76">
        <v>0</v>
      </c>
      <c r="L15" s="40">
        <v>0</v>
      </c>
      <c r="M15" s="76">
        <v>0</v>
      </c>
      <c r="N15" s="40">
        <v>0</v>
      </c>
      <c r="O15" s="76">
        <v>0</v>
      </c>
      <c r="P15" s="40">
        <v>0</v>
      </c>
      <c r="Q15" s="76">
        <v>0</v>
      </c>
      <c r="R15" s="40">
        <v>0</v>
      </c>
      <c r="S15" s="76">
        <v>0</v>
      </c>
      <c r="T15" s="40">
        <v>0</v>
      </c>
      <c r="U15" s="83">
        <v>0</v>
      </c>
      <c r="V15" s="135" t="s">
        <v>334</v>
      </c>
    </row>
    <row r="16" spans="1:23" x14ac:dyDescent="0.25">
      <c r="A16" s="56"/>
      <c r="B16" s="140" t="s">
        <v>22</v>
      </c>
      <c r="C16" s="154"/>
      <c r="D16" s="40"/>
      <c r="E16" s="76">
        <f>-('Financial Statements'!D31-'Financial Statements'!C31)</f>
        <v>-150</v>
      </c>
      <c r="F16" s="40">
        <f>-('Financial Statements'!G31-'Financial Statements'!D31)</f>
        <v>-9.9074999999999989</v>
      </c>
      <c r="G16" s="76">
        <f>-('Financial Statements'!J31-'Financial Statements'!G31)</f>
        <v>-10.56189037499999</v>
      </c>
      <c r="H16" s="40">
        <f>-('Financial Statements'!M31-'Financial Statements'!J31)</f>
        <v>-11.259503234268749</v>
      </c>
      <c r="I16" s="76">
        <f>-('Financial Statements'!P31-'Financial Statements'!M31)</f>
        <v>-12.003193422892195</v>
      </c>
      <c r="J16" s="40">
        <f>-('Financial Statements'!S31-'Financial Statements'!P31)</f>
        <v>-12.796004348474213</v>
      </c>
      <c r="K16" s="76">
        <f>-('Financial Statements'!V31-'Financial Statements'!S31)</f>
        <v>-13.641180435690927</v>
      </c>
      <c r="L16" s="40">
        <f>-('Financial Statements'!Y31-'Financial Statements'!V31)</f>
        <v>-14.542180403468365</v>
      </c>
      <c r="M16" s="76">
        <f>-('Financial Statements'!AB31-'Financial Statements'!Y31)</f>
        <v>-15.50269141911744</v>
      </c>
      <c r="N16" s="40">
        <f>-('Financial Statements'!AE31-'Financial Statements'!AB31)</f>
        <v>-16.526644187350087</v>
      </c>
      <c r="O16" s="76">
        <f>-('Financial Statements'!AH31-'Financial Statements'!AE31)</f>
        <v>-17.618229035924571</v>
      </c>
      <c r="P16" s="40">
        <f>-('Financial Statements'!AK31-'Financial Statements'!AH31)</f>
        <v>-18.781913063747368</v>
      </c>
      <c r="Q16" s="76">
        <f>-('Financial Statements'!AN31-'Financial Statements'!AK31)</f>
        <v>-20.022458421607951</v>
      </c>
      <c r="R16" s="40">
        <f>-('Financial Statements'!AQ31-'Financial Statements'!AN31)</f>
        <v>-21.34494180035523</v>
      </c>
      <c r="S16" s="76">
        <f>-('Financial Statements'!AT31-'Financial Statements'!AQ31)</f>
        <v>-22.754775206268505</v>
      </c>
      <c r="T16" s="40">
        <f>-('Financial Statements'!AW31-'Financial Statements'!AT31)</f>
        <v>-24.257728108642709</v>
      </c>
      <c r="U16" s="83">
        <f>-('Financial Statements'!AZ31-'Financial Statements'!AW31)</f>
        <v>-53.685336684420292</v>
      </c>
    </row>
    <row r="17" spans="1:22" x14ac:dyDescent="0.25">
      <c r="A17" s="56"/>
      <c r="B17" s="140" t="s">
        <v>133</v>
      </c>
      <c r="C17" s="154"/>
      <c r="D17" s="40"/>
      <c r="E17" s="76">
        <f>'Financial Statements'!D40-'Financial Statements'!C40</f>
        <v>855</v>
      </c>
      <c r="F17" s="40">
        <f>'Financial Statements'!G40-'Financial Statements'!D40</f>
        <v>56.472750000000019</v>
      </c>
      <c r="G17" s="76">
        <f>'Financial Statements'!J40-'Financial Statements'!G40</f>
        <v>60.202775137499884</v>
      </c>
      <c r="H17" s="40">
        <f>'Financial Statements'!M40-'Financial Statements'!J40</f>
        <v>64.179168435331917</v>
      </c>
      <c r="I17" s="76">
        <f>'Financial Statements'!P40-'Financial Statements'!M40</f>
        <v>68.418202510485344</v>
      </c>
      <c r="J17" s="40">
        <f>'Financial Statements'!S40-'Financial Statements'!P40</f>
        <v>72.937224786302977</v>
      </c>
      <c r="K17" s="76">
        <f>'Financial Statements'!V40-'Financial Statements'!S40</f>
        <v>77.754728483438385</v>
      </c>
      <c r="L17" s="40">
        <f>'Financial Statements'!Y40-'Financial Statements'!V40</f>
        <v>82.89042829976961</v>
      </c>
      <c r="M17" s="76">
        <f>'Financial Statements'!AB40-'Financial Statements'!Y40</f>
        <v>88.365341088969444</v>
      </c>
      <c r="N17" s="40">
        <f>'Financial Statements'!AE40-'Financial Statements'!AB40</f>
        <v>94.201871867895306</v>
      </c>
      <c r="O17" s="76">
        <f>'Financial Statements'!AH40-'Financial Statements'!AE40</f>
        <v>100.42390550477012</v>
      </c>
      <c r="P17" s="40">
        <f>'Financial Statements'!AK40-'Financial Statements'!AH40</f>
        <v>107.0569044633603</v>
      </c>
      <c r="Q17" s="76">
        <f>'Financial Statements'!AN40-'Financial Statements'!AK40</f>
        <v>114.12801300316528</v>
      </c>
      <c r="R17" s="40">
        <f>'Financial Statements'!AQ40-'Financial Statements'!AN40</f>
        <v>121.66616826202448</v>
      </c>
      <c r="S17" s="76">
        <f>'Financial Statements'!AT40-'Financial Statements'!AQ40</f>
        <v>129.70221867573082</v>
      </c>
      <c r="T17" s="40">
        <f>'Financial Statements'!AW40-'Financial Statements'!AT40</f>
        <v>138.26905021926314</v>
      </c>
      <c r="U17" s="83">
        <f>'Financial Statements'!AZ40-'Financial Statements'!AW40</f>
        <v>306.00641910119566</v>
      </c>
    </row>
    <row r="18" spans="1:22" x14ac:dyDescent="0.25">
      <c r="A18" s="56"/>
      <c r="B18" s="140" t="s">
        <v>134</v>
      </c>
      <c r="C18" s="154"/>
      <c r="D18" s="40"/>
      <c r="E18" s="76">
        <f>'Financial Statements'!D41-'Financial Statements'!C41</f>
        <v>247.5</v>
      </c>
      <c r="F18" s="40">
        <f>'Financial Statements'!G41-'Financial Statements'!D41</f>
        <v>16.347375</v>
      </c>
      <c r="G18" s="76">
        <f>'Financial Statements'!J41-'Financial Statements'!G41</f>
        <v>17.427119118749999</v>
      </c>
      <c r="H18" s="40">
        <f>'Financial Statements'!M41-'Financial Statements'!J41</f>
        <v>18.578180336543426</v>
      </c>
      <c r="I18" s="76">
        <f>'Financial Statements'!P41-'Financial Statements'!M41</f>
        <v>19.805269147772094</v>
      </c>
      <c r="J18" s="40">
        <f>'Financial Statements'!S41-'Financial Statements'!P41</f>
        <v>21.113407174982456</v>
      </c>
      <c r="K18" s="76">
        <f>'Financial Statements'!V41-'Financial Statements'!S41</f>
        <v>22.50794771889008</v>
      </c>
      <c r="L18" s="40">
        <f>'Financial Statements'!Y41-'Financial Statements'!V41</f>
        <v>23.994597665722722</v>
      </c>
      <c r="M18" s="76">
        <f>'Financial Statements'!AB41-'Financial Statements'!Y41</f>
        <v>25.579440841543772</v>
      </c>
      <c r="N18" s="40">
        <f>'Financial Statements'!AE41-'Financial Statements'!AB41</f>
        <v>27.268962909127652</v>
      </c>
      <c r="O18" s="76">
        <f>'Financial Statements'!AH41-'Financial Statements'!AE41</f>
        <v>29.07007790927554</v>
      </c>
      <c r="P18" s="40">
        <f>'Financial Statements'!AK41-'Financial Statements'!AH41</f>
        <v>30.990156555183205</v>
      </c>
      <c r="Q18" s="76">
        <f>'Financial Statements'!AN41-'Financial Statements'!AK41</f>
        <v>33.037056395653167</v>
      </c>
      <c r="R18" s="40">
        <f>'Financial Statements'!AQ41-'Financial Statements'!AN41</f>
        <v>35.219153970585921</v>
      </c>
      <c r="S18" s="76">
        <f>'Financial Statements'!AT41-'Financial Statements'!AQ41</f>
        <v>37.54537909034309</v>
      </c>
      <c r="T18" s="40">
        <f>'Financial Statements'!AW41-'Financial Statements'!AT41</f>
        <v>40.025251379260567</v>
      </c>
      <c r="U18" s="83">
        <f>'Financial Statements'!AZ41-'Financial Statements'!AW41</f>
        <v>88.580805529293457</v>
      </c>
    </row>
    <row r="19" spans="1:22" x14ac:dyDescent="0.25">
      <c r="A19" s="56"/>
      <c r="B19" s="140" t="s">
        <v>333</v>
      </c>
      <c r="C19" s="154"/>
      <c r="D19" s="40"/>
      <c r="E19" s="76">
        <f t="shared" ref="E19:U19" si="2">E7-D7</f>
        <v>3280</v>
      </c>
      <c r="F19" s="40">
        <f t="shared" si="2"/>
        <v>374.50350000000071</v>
      </c>
      <c r="G19" s="76">
        <f t="shared" si="2"/>
        <v>399.23945617499976</v>
      </c>
      <c r="H19" s="40">
        <f t="shared" si="2"/>
        <v>425.60922225535887</v>
      </c>
      <c r="I19" s="76">
        <f t="shared" si="2"/>
        <v>453.72071138532556</v>
      </c>
      <c r="J19" s="40">
        <f t="shared" si="2"/>
        <v>483.68896437232252</v>
      </c>
      <c r="K19" s="76">
        <f t="shared" si="2"/>
        <v>515.63662046911486</v>
      </c>
      <c r="L19" s="40">
        <f t="shared" si="2"/>
        <v>549.69441925110368</v>
      </c>
      <c r="M19" s="76">
        <f t="shared" si="2"/>
        <v>586.00173564263969</v>
      </c>
      <c r="N19" s="40">
        <f t="shared" si="2"/>
        <v>624.70715028183713</v>
      </c>
      <c r="O19" s="76">
        <f t="shared" si="2"/>
        <v>665.96905755794705</v>
      </c>
      <c r="P19" s="40">
        <f t="shared" si="2"/>
        <v>709.9563138096546</v>
      </c>
      <c r="Q19" s="76">
        <f t="shared" si="2"/>
        <v>756.84892833677623</v>
      </c>
      <c r="R19" s="40">
        <f t="shared" si="2"/>
        <v>806.83880005343235</v>
      </c>
      <c r="S19" s="76">
        <f t="shared" si="2"/>
        <v>860.13050279694653</v>
      </c>
      <c r="T19" s="40">
        <f t="shared" si="2"/>
        <v>916.94212250668716</v>
      </c>
      <c r="U19" s="83">
        <f t="shared" si="2"/>
        <v>2029.3057266710912</v>
      </c>
    </row>
    <row r="20" spans="1:22" x14ac:dyDescent="0.25">
      <c r="A20" s="56"/>
      <c r="B20" s="155"/>
      <c r="C20" s="154"/>
      <c r="D20" s="40"/>
      <c r="E20" s="76"/>
      <c r="F20" s="40"/>
      <c r="G20" s="76"/>
      <c r="H20" s="40"/>
      <c r="I20" s="76"/>
      <c r="J20" s="40"/>
      <c r="K20" s="76"/>
      <c r="L20" s="40"/>
      <c r="M20" s="76"/>
      <c r="N20" s="40"/>
      <c r="O20" s="76"/>
      <c r="P20" s="40"/>
      <c r="Q20" s="76"/>
      <c r="R20" s="40"/>
      <c r="S20" s="76"/>
      <c r="T20" s="40"/>
      <c r="U20" s="83"/>
    </row>
    <row r="21" spans="1:22" x14ac:dyDescent="0.25">
      <c r="A21" s="57" t="s">
        <v>322</v>
      </c>
      <c r="B21" s="45"/>
      <c r="C21" s="154"/>
      <c r="D21" s="40"/>
      <c r="E21" s="76"/>
      <c r="F21" s="40"/>
      <c r="G21" s="76"/>
      <c r="H21" s="40"/>
      <c r="I21" s="76"/>
      <c r="J21" s="40"/>
      <c r="K21" s="76"/>
      <c r="L21" s="40"/>
      <c r="M21" s="76"/>
      <c r="N21" s="40"/>
      <c r="O21" s="76"/>
      <c r="P21" s="40"/>
      <c r="Q21" s="76"/>
      <c r="R21" s="40"/>
      <c r="S21" s="76"/>
      <c r="T21" s="40"/>
      <c r="U21" s="83"/>
    </row>
    <row r="22" spans="1:22" x14ac:dyDescent="0.25">
      <c r="A22" s="56"/>
      <c r="B22" s="141" t="s">
        <v>21</v>
      </c>
      <c r="C22" s="154"/>
      <c r="D22" s="40"/>
      <c r="E22" s="76"/>
      <c r="F22" s="40"/>
      <c r="G22" s="76"/>
      <c r="H22" s="40"/>
      <c r="I22" s="76"/>
      <c r="J22" s="40"/>
      <c r="K22" s="76"/>
      <c r="L22" s="40"/>
      <c r="M22" s="76"/>
      <c r="N22" s="40"/>
      <c r="O22" s="76"/>
      <c r="P22" s="40"/>
      <c r="Q22" s="76"/>
      <c r="R22" s="40"/>
      <c r="S22" s="76"/>
      <c r="T22" s="40"/>
      <c r="U22" s="83">
        <f>Assumptions!C37</f>
        <v>500</v>
      </c>
      <c r="V22" s="135" t="s">
        <v>334</v>
      </c>
    </row>
    <row r="23" spans="1:22" x14ac:dyDescent="0.25">
      <c r="A23" s="56"/>
      <c r="B23" s="140" t="s">
        <v>22</v>
      </c>
      <c r="C23" s="154"/>
      <c r="D23" s="40"/>
      <c r="E23" s="76"/>
      <c r="F23" s="40"/>
      <c r="G23" s="76"/>
      <c r="H23" s="40"/>
      <c r="I23" s="76"/>
      <c r="J23" s="40"/>
      <c r="K23" s="76"/>
      <c r="L23" s="40"/>
      <c r="M23" s="76"/>
      <c r="N23" s="40"/>
      <c r="O23" s="76"/>
      <c r="P23" s="40"/>
      <c r="Q23" s="76"/>
      <c r="R23" s="40"/>
      <c r="S23" s="76"/>
      <c r="T23" s="40"/>
      <c r="U23" s="83">
        <f>'Financial Statements'!AZ31</f>
        <v>445.20617014722859</v>
      </c>
    </row>
    <row r="24" spans="1:22" x14ac:dyDescent="0.25">
      <c r="A24" s="56"/>
      <c r="B24" s="140" t="s">
        <v>133</v>
      </c>
      <c r="C24" s="154"/>
      <c r="D24" s="40"/>
      <c r="E24" s="76"/>
      <c r="F24" s="40"/>
      <c r="G24" s="76"/>
      <c r="H24" s="40"/>
      <c r="I24" s="76"/>
      <c r="J24" s="40"/>
      <c r="K24" s="76"/>
      <c r="L24" s="40"/>
      <c r="M24" s="76"/>
      <c r="N24" s="40"/>
      <c r="O24" s="76"/>
      <c r="P24" s="40"/>
      <c r="Q24" s="76"/>
      <c r="R24" s="40"/>
      <c r="S24" s="76"/>
      <c r="T24" s="40"/>
      <c r="U24" s="83">
        <f>-'Financial Statements'!AZ40</f>
        <v>-2537.6751698392027</v>
      </c>
    </row>
    <row r="25" spans="1:22" x14ac:dyDescent="0.25">
      <c r="A25" s="56"/>
      <c r="B25" s="140" t="s">
        <v>134</v>
      </c>
      <c r="C25" s="154"/>
      <c r="D25" s="40"/>
      <c r="E25" s="76"/>
      <c r="F25" s="40"/>
      <c r="G25" s="76"/>
      <c r="H25" s="40"/>
      <c r="I25" s="76"/>
      <c r="J25" s="40"/>
      <c r="K25" s="76"/>
      <c r="L25" s="40"/>
      <c r="M25" s="76"/>
      <c r="N25" s="40"/>
      <c r="O25" s="76"/>
      <c r="P25" s="40"/>
      <c r="Q25" s="76"/>
      <c r="R25" s="40"/>
      <c r="S25" s="76"/>
      <c r="T25" s="40"/>
      <c r="U25" s="83">
        <f>-'Financial Statements'!AZ41</f>
        <v>-734.59018074292715</v>
      </c>
    </row>
    <row r="26" spans="1:22" x14ac:dyDescent="0.25">
      <c r="A26" s="56"/>
      <c r="B26" s="140" t="s">
        <v>333</v>
      </c>
      <c r="C26" s="154"/>
      <c r="D26" s="40"/>
      <c r="E26" s="76"/>
      <c r="F26" s="40"/>
      <c r="G26" s="76"/>
      <c r="H26" s="40"/>
      <c r="I26" s="76"/>
      <c r="J26" s="40"/>
      <c r="K26" s="76"/>
      <c r="L26" s="40"/>
      <c r="M26" s="76"/>
      <c r="N26" s="40"/>
      <c r="O26" s="76"/>
      <c r="P26" s="40"/>
      <c r="Q26" s="76"/>
      <c r="R26" s="40"/>
      <c r="S26" s="76"/>
      <c r="T26" s="40"/>
      <c r="U26" s="83">
        <f>-U7</f>
        <v>-14438.793231565238</v>
      </c>
    </row>
    <row r="27" spans="1:22" x14ac:dyDescent="0.25">
      <c r="A27" s="56"/>
      <c r="B27" s="45"/>
      <c r="C27" s="154"/>
      <c r="D27" s="40"/>
      <c r="E27" s="76"/>
      <c r="F27" s="40"/>
      <c r="G27" s="76"/>
      <c r="H27" s="40"/>
      <c r="I27" s="76"/>
      <c r="J27" s="40"/>
      <c r="K27" s="76"/>
      <c r="L27" s="40"/>
      <c r="M27" s="76"/>
      <c r="N27" s="40"/>
      <c r="O27" s="76"/>
      <c r="P27" s="40"/>
      <c r="Q27" s="76"/>
      <c r="R27" s="40"/>
      <c r="S27" s="76"/>
      <c r="T27" s="40"/>
      <c r="U27" s="83"/>
    </row>
    <row r="28" spans="1:22" x14ac:dyDescent="0.25">
      <c r="A28" s="57" t="s">
        <v>323</v>
      </c>
      <c r="B28" s="45"/>
      <c r="C28" s="154"/>
      <c r="D28" s="174">
        <f>SUM(D8:D26)</f>
        <v>-239000</v>
      </c>
      <c r="E28" s="175">
        <f>SUM(E8:E26)</f>
        <v>28802.5</v>
      </c>
      <c r="F28" s="176">
        <f>SUM(F8:F26)</f>
        <v>27005.430125000006</v>
      </c>
      <c r="G28" s="175">
        <f>SUM(G8:G26)</f>
        <v>28631.279284756252</v>
      </c>
      <c r="H28" s="176">
        <f t="shared" ref="H28:U28" si="3">SUM(H8:H26)</f>
        <v>30364.515781514401</v>
      </c>
      <c r="I28" s="175">
        <f t="shared" si="3"/>
        <v>32212.232548883425</v>
      </c>
      <c r="J28" s="176">
        <f t="shared" si="3"/>
        <v>34181.991008737168</v>
      </c>
      <c r="K28" s="175">
        <f t="shared" si="3"/>
        <v>36281.852014864242</v>
      </c>
      <c r="L28" s="176">
        <f t="shared" si="3"/>
        <v>38520.408840446034</v>
      </c>
      <c r="M28" s="175">
        <f t="shared" si="3"/>
        <v>40906.822344357497</v>
      </c>
      <c r="N28" s="176">
        <f t="shared" si="3"/>
        <v>43450.858460202311</v>
      </c>
      <c r="O28" s="175">
        <f t="shared" si="3"/>
        <v>46162.928161498668</v>
      </c>
      <c r="P28" s="176">
        <f t="shared" si="3"/>
        <v>49054.13006656566</v>
      </c>
      <c r="Q28" s="175">
        <f t="shared" si="3"/>
        <v>52136.295857462304</v>
      </c>
      <c r="R28" s="176">
        <f t="shared" si="3"/>
        <v>55422.038698847733</v>
      </c>
      <c r="S28" s="175">
        <f t="shared" si="3"/>
        <v>58924.804854906586</v>
      </c>
      <c r="T28" s="176">
        <f t="shared" si="3"/>
        <v>62658.928715573158</v>
      </c>
      <c r="U28" s="177">
        <f t="shared" si="3"/>
        <v>91159.528128877952</v>
      </c>
    </row>
    <row r="29" spans="1:22" s="149" customFormat="1" x14ac:dyDescent="0.25">
      <c r="A29" s="163"/>
      <c r="B29" s="156"/>
      <c r="C29" s="157"/>
      <c r="D29" s="164">
        <v>0</v>
      </c>
      <c r="E29" s="165">
        <v>1</v>
      </c>
      <c r="F29" s="164">
        <v>2</v>
      </c>
      <c r="G29" s="165">
        <v>3</v>
      </c>
      <c r="H29" s="164">
        <v>4</v>
      </c>
      <c r="I29" s="165">
        <v>5</v>
      </c>
      <c r="J29" s="164">
        <v>6</v>
      </c>
      <c r="K29" s="165">
        <v>7</v>
      </c>
      <c r="L29" s="164">
        <v>8</v>
      </c>
      <c r="M29" s="165">
        <v>9</v>
      </c>
      <c r="N29" s="164">
        <v>10</v>
      </c>
      <c r="O29" s="165">
        <v>11</v>
      </c>
      <c r="P29" s="164">
        <v>12</v>
      </c>
      <c r="Q29" s="165">
        <v>13</v>
      </c>
      <c r="R29" s="164">
        <v>14</v>
      </c>
      <c r="S29" s="165">
        <v>15</v>
      </c>
      <c r="T29" s="164">
        <v>16</v>
      </c>
      <c r="U29" s="166">
        <v>17</v>
      </c>
    </row>
    <row r="30" spans="1:22" x14ac:dyDescent="0.25">
      <c r="A30" s="57" t="s">
        <v>324</v>
      </c>
      <c r="B30" s="45"/>
      <c r="C30" s="154"/>
      <c r="D30" s="144">
        <f>D28</f>
        <v>-239000</v>
      </c>
      <c r="E30" s="151">
        <f ca="1">-PV($D$32,E29,,E28)</f>
        <v>25275.932113330589</v>
      </c>
      <c r="F30" s="152">
        <f ca="1">-PV($D$32,F29,,F28)</f>
        <v>20797.210556393726</v>
      </c>
      <c r="G30" s="151">
        <f ca="1">-PV($D$32,G29,,G28)</f>
        <v>19349.588710213862</v>
      </c>
      <c r="H30" s="152">
        <f t="shared" ref="H30:U30" ca="1" si="4">-PV($D$32,H29,,H28)</f>
        <v>18008.367288923233</v>
      </c>
      <c r="I30" s="151">
        <f t="shared" ca="1" si="4"/>
        <v>16765.086576769248</v>
      </c>
      <c r="J30" s="152">
        <f t="shared" ca="1" si="4"/>
        <v>15612.028138157137</v>
      </c>
      <c r="K30" s="151">
        <f t="shared" ca="1" si="4"/>
        <v>14542.143045558914</v>
      </c>
      <c r="L30" s="152">
        <f t="shared" ca="1" si="4"/>
        <v>13548.987670758352</v>
      </c>
      <c r="M30" s="151">
        <f t="shared" ca="1" si="4"/>
        <v>12626.66619232594</v>
      </c>
      <c r="N30" s="152">
        <f t="shared" ca="1" si="4"/>
        <v>11769.77907084716</v>
      </c>
      <c r="O30" s="151">
        <f t="shared" ca="1" si="4"/>
        <v>10973.37683030844</v>
      </c>
      <c r="P30" s="152">
        <f t="shared" ca="1" si="4"/>
        <v>10232.918560595812</v>
      </c>
      <c r="Q30" s="151">
        <f t="shared" ca="1" si="4"/>
        <v>9544.2346235262685</v>
      </c>
      <c r="R30" s="152">
        <f t="shared" ca="1" si="4"/>
        <v>8903.4931043051765</v>
      </c>
      <c r="S30" s="151">
        <f t="shared" ca="1" si="4"/>
        <v>8307.1696027457201</v>
      </c>
      <c r="T30" s="152">
        <f t="shared" ca="1" si="4"/>
        <v>7752.0200048436554</v>
      </c>
      <c r="U30" s="167">
        <f t="shared" ca="1" si="4"/>
        <v>9897.168922550949</v>
      </c>
    </row>
    <row r="31" spans="1:22" x14ac:dyDescent="0.25">
      <c r="A31" s="57"/>
      <c r="B31" s="45"/>
      <c r="C31" s="15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68"/>
    </row>
    <row r="32" spans="1:22" x14ac:dyDescent="0.25">
      <c r="A32" s="57" t="s">
        <v>285</v>
      </c>
      <c r="B32" s="45"/>
      <c r="C32" s="154"/>
      <c r="D32" s="44">
        <f ca="1">WACC!C71</f>
        <v>0.14000276303232698</v>
      </c>
      <c r="E32" s="173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168"/>
    </row>
    <row r="33" spans="1:21" x14ac:dyDescent="0.25">
      <c r="A33" s="57" t="s">
        <v>325</v>
      </c>
      <c r="B33" s="45"/>
      <c r="C33" s="154"/>
      <c r="D33" s="40">
        <f ca="1">SUM(D30:U30)</f>
        <v>-5093.8289878458327</v>
      </c>
      <c r="E33" s="173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168"/>
    </row>
    <row r="34" spans="1:21" x14ac:dyDescent="0.25">
      <c r="A34" s="61" t="s">
        <v>326</v>
      </c>
      <c r="B34" s="11"/>
      <c r="C34" s="169"/>
      <c r="D34" s="170">
        <f>IRR(D28:U28)</f>
        <v>0.13621426011092908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71"/>
    </row>
    <row r="35" spans="1:21" x14ac:dyDescent="0.25">
      <c r="D35" s="150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Assumptions</vt:lpstr>
      <vt:lpstr>Financial Statements</vt:lpstr>
      <vt:lpstr>Mortgage</vt:lpstr>
      <vt:lpstr>WACC</vt:lpstr>
      <vt:lpstr>FCF, NPV, IRR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2013-12-19T18:34:30Z</dcterms:created>
  <dcterms:modified xsi:type="dcterms:W3CDTF">2019-05-17T20:41:30Z</dcterms:modified>
</cp:coreProperties>
</file>