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35" windowWidth="15600" windowHeight="9240"/>
  </bookViews>
  <sheets>
    <sheet name="Case Sheet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L84" i="1" l="1"/>
  <c r="F76" i="1"/>
  <c r="H76" i="1"/>
  <c r="J76" i="1"/>
  <c r="L76" i="1"/>
  <c r="F77" i="1"/>
  <c r="H77" i="1"/>
  <c r="J77" i="1"/>
  <c r="L77" i="1"/>
  <c r="D77" i="1"/>
  <c r="D76" i="1"/>
  <c r="B70" i="1"/>
  <c r="L71" i="1" s="1"/>
  <c r="L72" i="1" s="1"/>
  <c r="B67" i="1"/>
  <c r="L68" i="1" s="1"/>
  <c r="L69" i="1" s="1"/>
  <c r="L60" i="1"/>
  <c r="L63" i="1" s="1"/>
  <c r="J60" i="1"/>
  <c r="J63" i="1" s="1"/>
  <c r="H60" i="1"/>
  <c r="H63" i="1" s="1"/>
  <c r="F60" i="1"/>
  <c r="F63" i="1" s="1"/>
  <c r="D60" i="1"/>
  <c r="D63" i="1" s="1"/>
  <c r="B136" i="1"/>
  <c r="B137" i="1"/>
  <c r="B116" i="1"/>
  <c r="B125" i="1" s="1"/>
  <c r="B132" i="1" s="1"/>
  <c r="B145" i="1" s="1"/>
  <c r="F101" i="1"/>
  <c r="B124" i="1"/>
  <c r="B110" i="1"/>
  <c r="B111" i="1" s="1"/>
  <c r="B118" i="1" s="1"/>
  <c r="B90" i="1" l="1"/>
  <c r="B139" i="1"/>
  <c r="L43" i="1" l="1"/>
  <c r="L15" i="1"/>
  <c r="L45" i="1" s="1"/>
  <c r="D37" i="1"/>
  <c r="D13" i="1"/>
  <c r="F13" i="1" s="1"/>
  <c r="H13" i="1" s="1"/>
  <c r="J13" i="1" s="1"/>
  <c r="L13" i="1" s="1"/>
  <c r="J43" i="1"/>
  <c r="H43" i="1"/>
  <c r="F43" i="1"/>
  <c r="P20" i="1"/>
  <c r="L87" i="1" l="1"/>
  <c r="D38" i="1"/>
  <c r="P13" i="1"/>
  <c r="P19" i="1"/>
  <c r="J15" i="1"/>
  <c r="J45" i="1" s="1"/>
  <c r="H15" i="1"/>
  <c r="H45" i="1" s="1"/>
  <c r="F15" i="1"/>
  <c r="F45" i="1" s="1"/>
  <c r="D15" i="1"/>
  <c r="D45" i="1" s="1"/>
  <c r="P17" i="1"/>
  <c r="N62" i="1" s="1"/>
  <c r="N72" i="1" s="1"/>
  <c r="L73" i="1" s="1"/>
  <c r="F4" i="1"/>
  <c r="F6" i="1" s="1"/>
  <c r="F8" i="1" s="1"/>
  <c r="D6" i="1"/>
  <c r="D8" i="1" s="1"/>
  <c r="D10" i="1" s="1"/>
  <c r="D4" i="2"/>
  <c r="D6" i="2" s="1"/>
  <c r="D15" i="2" s="1"/>
  <c r="D16" i="2" s="1"/>
  <c r="D11" i="2"/>
  <c r="D19" i="2" l="1"/>
  <c r="H80" i="1"/>
  <c r="J80" i="1"/>
  <c r="L80" i="1"/>
  <c r="B14" i="1"/>
  <c r="D14" i="1"/>
  <c r="F14" i="1"/>
  <c r="L14" i="1"/>
  <c r="D33" i="1"/>
  <c r="H4" i="1"/>
  <c r="J4" i="1" s="1"/>
  <c r="J14" i="1"/>
  <c r="F37" i="1"/>
  <c r="F33" i="1"/>
  <c r="F10" i="1"/>
  <c r="D16" i="1"/>
  <c r="H14" i="1"/>
  <c r="D17" i="1" l="1"/>
  <c r="D59" i="1" s="1"/>
  <c r="D61" i="1" s="1"/>
  <c r="F34" i="1"/>
  <c r="F78" i="1"/>
  <c r="D34" i="1"/>
  <c r="D40" i="1" s="1"/>
  <c r="D78" i="1"/>
  <c r="B48" i="1"/>
  <c r="D20" i="1" s="1"/>
  <c r="J6" i="1"/>
  <c r="J8" i="1" s="1"/>
  <c r="J10" i="1" s="1"/>
  <c r="L4" i="1"/>
  <c r="L6" i="1" s="1"/>
  <c r="L8" i="1" s="1"/>
  <c r="H6" i="1"/>
  <c r="H8" i="1" s="1"/>
  <c r="H10" i="1" s="1"/>
  <c r="F38" i="1"/>
  <c r="H37" i="1"/>
  <c r="D48" i="1"/>
  <c r="F16" i="1"/>
  <c r="D62" i="1" l="1"/>
  <c r="D81" i="1" s="1"/>
  <c r="F40" i="1"/>
  <c r="J16" i="1"/>
  <c r="F17" i="1"/>
  <c r="F59" i="1" s="1"/>
  <c r="F61" i="1" s="1"/>
  <c r="J33" i="1"/>
  <c r="B101" i="1"/>
  <c r="B102" i="1" s="1"/>
  <c r="L33" i="1"/>
  <c r="L10" i="1"/>
  <c r="H33" i="1"/>
  <c r="D43" i="1"/>
  <c r="H38" i="1"/>
  <c r="J37" i="1"/>
  <c r="H16" i="1"/>
  <c r="D64" i="1" l="1"/>
  <c r="F21" i="1"/>
  <c r="D80" i="1"/>
  <c r="D90" i="1" s="1"/>
  <c r="F80" i="1"/>
  <c r="L34" i="1"/>
  <c r="L85" i="1"/>
  <c r="L78" i="1"/>
  <c r="H34" i="1"/>
  <c r="H40" i="1" s="1"/>
  <c r="H78" i="1"/>
  <c r="J34" i="1"/>
  <c r="J78" i="1"/>
  <c r="F62" i="1"/>
  <c r="F81" i="1" s="1"/>
  <c r="H17" i="1"/>
  <c r="H59" i="1" s="1"/>
  <c r="H61" i="1" s="1"/>
  <c r="J17" i="1"/>
  <c r="J59" i="1" s="1"/>
  <c r="J61" i="1" s="1"/>
  <c r="D101" i="1"/>
  <c r="D100" i="1"/>
  <c r="J38" i="1"/>
  <c r="L37" i="1"/>
  <c r="L38" i="1" s="1"/>
  <c r="L16" i="1"/>
  <c r="D21" i="1"/>
  <c r="D23" i="1" s="1"/>
  <c r="D44" i="1" s="1"/>
  <c r="D46" i="1" s="1"/>
  <c r="D49" i="1" s="1"/>
  <c r="L40" i="1" l="1"/>
  <c r="F23" i="1"/>
  <c r="F44" i="1" s="1"/>
  <c r="F46" i="1" s="1"/>
  <c r="F49" i="1" s="1"/>
  <c r="F64" i="1"/>
  <c r="F90" i="1"/>
  <c r="J40" i="1"/>
  <c r="J21" i="1"/>
  <c r="J23" i="1" s="1"/>
  <c r="J44" i="1" s="1"/>
  <c r="J46" i="1" s="1"/>
  <c r="J49" i="1" s="1"/>
  <c r="H62" i="1"/>
  <c r="J62" i="1"/>
  <c r="H21" i="1"/>
  <c r="H23" i="1" s="1"/>
  <c r="H44" i="1" s="1"/>
  <c r="H46" i="1" s="1"/>
  <c r="H49" i="1" s="1"/>
  <c r="L17" i="1"/>
  <c r="L59" i="1" s="1"/>
  <c r="L61" i="1" s="1"/>
  <c r="B104" i="1"/>
  <c r="D24" i="1"/>
  <c r="D52" i="1" s="1"/>
  <c r="D53" i="1" s="1"/>
  <c r="D55" i="1" s="1"/>
  <c r="B114" i="1" s="1"/>
  <c r="F24" i="1" l="1"/>
  <c r="F52" i="1" s="1"/>
  <c r="F53" i="1" s="1"/>
  <c r="F55" i="1" s="1"/>
  <c r="H64" i="1"/>
  <c r="H81" i="1"/>
  <c r="H90" i="1" s="1"/>
  <c r="J64" i="1"/>
  <c r="J81" i="1"/>
  <c r="J90" i="1" s="1"/>
  <c r="L21" i="1"/>
  <c r="L23" i="1" s="1"/>
  <c r="L44" i="1" s="1"/>
  <c r="J24" i="1"/>
  <c r="L62" i="1"/>
  <c r="H24" i="1"/>
  <c r="B144" i="1"/>
  <c r="B115" i="1"/>
  <c r="B122" i="1"/>
  <c r="B117" i="1"/>
  <c r="B123" i="1" s="1"/>
  <c r="L64" i="1" l="1"/>
  <c r="L81" i="1"/>
  <c r="L46" i="1"/>
  <c r="L49" i="1" s="1"/>
  <c r="L88" i="1"/>
  <c r="L24" i="1"/>
  <c r="B119" i="1"/>
  <c r="B126" i="1"/>
  <c r="B131" i="1" s="1"/>
  <c r="B133" i="1" s="1"/>
  <c r="B138" i="1" s="1"/>
  <c r="B140" i="1" s="1"/>
  <c r="B147" i="1" s="1"/>
  <c r="B148" i="1" s="1"/>
  <c r="B93" i="1" s="1"/>
  <c r="B92" i="1" s="1"/>
  <c r="H52" i="1"/>
  <c r="J52" i="1" s="1"/>
  <c r="L90" i="1" l="1"/>
  <c r="F92" i="1"/>
  <c r="U92" i="1" s="1"/>
  <c r="S92" i="1"/>
  <c r="D92" i="1"/>
  <c r="T92" i="1" s="1"/>
  <c r="J92" i="1"/>
  <c r="W92" i="1" s="1"/>
  <c r="H92" i="1"/>
  <c r="V92" i="1" s="1"/>
  <c r="J53" i="1"/>
  <c r="J55" i="1" s="1"/>
  <c r="L52" i="1"/>
  <c r="L53" i="1" s="1"/>
  <c r="L55" i="1" s="1"/>
  <c r="H53" i="1"/>
  <c r="H55" i="1" s="1"/>
  <c r="L92" i="1" l="1"/>
  <c r="B95" i="1" l="1"/>
  <c r="X92" i="1"/>
  <c r="B96" i="1" s="1"/>
</calcChain>
</file>

<file path=xl/sharedStrings.xml><?xml version="1.0" encoding="utf-8"?>
<sst xmlns="http://schemas.openxmlformats.org/spreadsheetml/2006/main" count="154" uniqueCount="119">
  <si>
    <t>BALANCE SHEET</t>
  </si>
  <si>
    <t>Assets</t>
  </si>
  <si>
    <t>Depreciation</t>
  </si>
  <si>
    <t>Cash</t>
  </si>
  <si>
    <t>Net Sales</t>
  </si>
  <si>
    <t>Cost of Sales</t>
  </si>
  <si>
    <t>Gross Profit</t>
  </si>
  <si>
    <t>Selling, general, and administrative expenses</t>
  </si>
  <si>
    <t>Net interest expense</t>
  </si>
  <si>
    <t>Pre-tax income</t>
  </si>
  <si>
    <t>Income taxes</t>
  </si>
  <si>
    <t>Net Income</t>
  </si>
  <si>
    <t>INCOME STATEMENT</t>
  </si>
  <si>
    <t>Accounts receivable</t>
  </si>
  <si>
    <t>Total Current Assets</t>
  </si>
  <si>
    <t>Gross plant &amp; equipment</t>
  </si>
  <si>
    <t>Accumulated depreciation</t>
  </si>
  <si>
    <t>Net plant &amp; equipment</t>
  </si>
  <si>
    <t>Total assets</t>
  </si>
  <si>
    <t>Current maturities of long-term debt</t>
  </si>
  <si>
    <t>Accounts payable</t>
  </si>
  <si>
    <t>Total current liabilities</t>
  </si>
  <si>
    <t>Long-term debt</t>
  </si>
  <si>
    <t>Common Stock</t>
  </si>
  <si>
    <t>Retained Earnings</t>
  </si>
  <si>
    <t>Total shareholder's equity</t>
  </si>
  <si>
    <t>Total liabilities and shareholder's equity</t>
  </si>
  <si>
    <t>Liabilities and shareholder's equity</t>
  </si>
  <si>
    <t xml:space="preserve"> </t>
  </si>
  <si>
    <t>Income Taxes Payable</t>
  </si>
  <si>
    <t>Funds Needed</t>
  </si>
  <si>
    <t>Income Statement</t>
  </si>
  <si>
    <t>Revenue</t>
  </si>
  <si>
    <t>Interest Expense</t>
  </si>
  <si>
    <t>Balance Sheet</t>
  </si>
  <si>
    <t>Debt</t>
  </si>
  <si>
    <t>R/E</t>
  </si>
  <si>
    <t>Total Assets</t>
  </si>
  <si>
    <t>Liabilities &amp; Equity</t>
  </si>
  <si>
    <t>Total</t>
  </si>
  <si>
    <t>Assumptions:</t>
  </si>
  <si>
    <t>revenue is average price * 1% of target area</t>
  </si>
  <si>
    <t>miscellenous</t>
  </si>
  <si>
    <t>quickbooks PRO</t>
  </si>
  <si>
    <t>Office space</t>
  </si>
  <si>
    <t>legal setup</t>
  </si>
  <si>
    <t>online research</t>
  </si>
  <si>
    <t>average of several similar office space</t>
  </si>
  <si>
    <t>annual growth</t>
  </si>
  <si>
    <t>Average Price</t>
  </si>
  <si>
    <t>Number of Sales</t>
  </si>
  <si>
    <t>Market Share</t>
  </si>
  <si>
    <t>Targeted Total Population</t>
  </si>
  <si>
    <t>Marketing &amp; Advertisement</t>
  </si>
  <si>
    <t>Tax Rate</t>
  </si>
  <si>
    <t>Rent</t>
  </si>
  <si>
    <t>Internet</t>
  </si>
  <si>
    <t>Time Warner</t>
  </si>
  <si>
    <t>Phone</t>
  </si>
  <si>
    <t>Vonage</t>
  </si>
  <si>
    <t>Business Loan Rate</t>
  </si>
  <si>
    <t>Credit Union of Colorado</t>
  </si>
  <si>
    <t>Labor Expense</t>
  </si>
  <si>
    <t>Total Liabilities</t>
  </si>
  <si>
    <t>Issues:</t>
  </si>
  <si>
    <t>Too much cash on hand without liabilities</t>
  </si>
  <si>
    <t>According to US Census Bureau, city growing 14.6% annually</t>
  </si>
  <si>
    <t>Year 0</t>
  </si>
  <si>
    <t>Inventory</t>
  </si>
  <si>
    <t>WACC</t>
  </si>
  <si>
    <t>Mortgage on Buildings</t>
  </si>
  <si>
    <t>Bank Loans</t>
  </si>
  <si>
    <t>Blended Rate - Cost of Debt</t>
  </si>
  <si>
    <t>CAPM</t>
  </si>
  <si>
    <t>T-Bill</t>
  </si>
  <si>
    <t>S&amp;P 500</t>
  </si>
  <si>
    <t>Beta</t>
  </si>
  <si>
    <t>Credit Spread</t>
  </si>
  <si>
    <t>Return on Equity</t>
  </si>
  <si>
    <t>Proportion of Debt</t>
  </si>
  <si>
    <t>Return on Debt</t>
  </si>
  <si>
    <t>Proportion of Equity</t>
  </si>
  <si>
    <t>Unlever Beta</t>
  </si>
  <si>
    <t>Current Proportion of Debt</t>
  </si>
  <si>
    <t>Current Proportion of Equity</t>
  </si>
  <si>
    <t>Current Beta</t>
  </si>
  <si>
    <t>Relever Beta</t>
  </si>
  <si>
    <t>NEW CAPM</t>
  </si>
  <si>
    <t>NEW WACC</t>
  </si>
  <si>
    <t>Computer Geeks</t>
  </si>
  <si>
    <t>$20,000 total asset cost over five year period</t>
  </si>
  <si>
    <t>Lakewood wesbite</t>
  </si>
  <si>
    <t>Cash from Operations</t>
  </si>
  <si>
    <t>Operating Profit</t>
  </si>
  <si>
    <t>Less: Depreciation</t>
  </si>
  <si>
    <t>Taxable Operating Income</t>
  </si>
  <si>
    <t>Income Tax on Operations</t>
  </si>
  <si>
    <t>Add back: Depreciation</t>
  </si>
  <si>
    <t>Cash From Operations</t>
  </si>
  <si>
    <t>Capital Expenditures</t>
  </si>
  <si>
    <t>Changes in Working Capital</t>
  </si>
  <si>
    <t>Mimimum Cash Balance</t>
  </si>
  <si>
    <t>Accounts Receivable</t>
  </si>
  <si>
    <t>Accounts Payable</t>
  </si>
  <si>
    <t>Income Tax Payable</t>
  </si>
  <si>
    <t>Liquidation of Working Capital</t>
  </si>
  <si>
    <t>TOTAL FREE CASH FLOWS</t>
  </si>
  <si>
    <t>PV OF FREE CASH</t>
  </si>
  <si>
    <t>RATE</t>
  </si>
  <si>
    <t>NPV</t>
  </si>
  <si>
    <t>IRR</t>
  </si>
  <si>
    <t>Operating Expenses</t>
  </si>
  <si>
    <t>Gross Plant &amp; Equipment</t>
  </si>
  <si>
    <t>Year</t>
  </si>
  <si>
    <t xml:space="preserve">  Sell Inventory</t>
  </si>
  <si>
    <t xml:space="preserve">   Tax Payable on Inventory</t>
  </si>
  <si>
    <t xml:space="preserve"> Sell Gross Plant &amp; Equipment</t>
  </si>
  <si>
    <t>Gain from Resale - Gross Plant &amp; Equipment</t>
  </si>
  <si>
    <t>Gain from Resale -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</si>
</sst>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  <numFmt numFmtId="168" formatCode="_(\$* #,##0_);_(\$* \(#,##0\);_(\$* \-??_);_(@_)"/>
    <numFmt numFmtId="169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color rgb="FF00610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2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0" borderId="0"/>
  </cellStyleXfs>
  <cellXfs count="100">
    <xf numFmtId="0" fontId="0" fillId="0" borderId="0" xfId="0"/>
    <xf numFmtId="43" fontId="0" fillId="0" borderId="0" xfId="1" applyFont="1"/>
    <xf numFmtId="43" fontId="2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0" xfId="1" applyFont="1" applyBorder="1"/>
    <xf numFmtId="0" fontId="0" fillId="0" borderId="0" xfId="0" applyBorder="1"/>
    <xf numFmtId="164" fontId="0" fillId="0" borderId="0" xfId="1" applyNumberFormat="1" applyFont="1" applyBorder="1"/>
    <xf numFmtId="43" fontId="5" fillId="0" borderId="0" xfId="1" applyFont="1" applyBorder="1"/>
    <xf numFmtId="164" fontId="5" fillId="0" borderId="0" xfId="1" applyNumberFormat="1" applyFont="1" applyBorder="1"/>
    <xf numFmtId="164" fontId="5" fillId="0" borderId="1" xfId="1" applyNumberFormat="1" applyFont="1" applyBorder="1"/>
    <xf numFmtId="9" fontId="5" fillId="0" borderId="0" xfId="2" applyNumberFormat="1" applyFont="1" applyBorder="1"/>
    <xf numFmtId="10" fontId="5" fillId="0" borderId="0" xfId="2" applyNumberFormat="1" applyFont="1" applyBorder="1"/>
    <xf numFmtId="10" fontId="5" fillId="0" borderId="1" xfId="2" applyNumberFormat="1" applyFont="1" applyBorder="1"/>
    <xf numFmtId="9" fontId="5" fillId="0" borderId="0" xfId="2" applyFont="1" applyBorder="1"/>
    <xf numFmtId="43" fontId="5" fillId="0" borderId="0" xfId="1" applyFont="1"/>
    <xf numFmtId="164" fontId="5" fillId="0" borderId="0" xfId="1" applyNumberFormat="1" applyFont="1"/>
    <xf numFmtId="0" fontId="5" fillId="0" borderId="1" xfId="2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43" fontId="5" fillId="0" borderId="0" xfId="0" applyNumberFormat="1" applyFont="1" applyBorder="1"/>
    <xf numFmtId="165" fontId="5" fillId="0" borderId="0" xfId="2" applyNumberFormat="1" applyFont="1"/>
    <xf numFmtId="1" fontId="5" fillId="0" borderId="0" xfId="2" applyNumberFormat="1" applyFont="1"/>
    <xf numFmtId="164" fontId="2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9" fontId="0" fillId="0" borderId="0" xfId="2" applyFont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0" fontId="0" fillId="0" borderId="0" xfId="0" applyFill="1"/>
    <xf numFmtId="164" fontId="0" fillId="0" borderId="0" xfId="1" applyNumberFormat="1" applyFont="1" applyFill="1"/>
    <xf numFmtId="43" fontId="0" fillId="0" borderId="0" xfId="1" applyFont="1" applyFill="1"/>
    <xf numFmtId="0" fontId="7" fillId="0" borderId="0" xfId="1" quotePrefix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166" fontId="0" fillId="0" borderId="0" xfId="4" applyNumberFormat="1" applyFont="1"/>
    <xf numFmtId="10" fontId="5" fillId="0" borderId="0" xfId="0" applyNumberFormat="1" applyFont="1" applyBorder="1"/>
    <xf numFmtId="9" fontId="5" fillId="0" borderId="0" xfId="0" applyNumberFormat="1" applyFont="1"/>
    <xf numFmtId="10" fontId="5" fillId="0" borderId="0" xfId="0" applyNumberFormat="1" applyFont="1"/>
    <xf numFmtId="164" fontId="2" fillId="0" borderId="0" xfId="1" applyNumberFormat="1" applyFont="1" applyBorder="1"/>
    <xf numFmtId="164" fontId="4" fillId="0" borderId="0" xfId="1" applyNumberFormat="1" applyFont="1" applyBorder="1"/>
    <xf numFmtId="164" fontId="4" fillId="0" borderId="0" xfId="0" applyNumberFormat="1" applyFont="1" applyBorder="1"/>
    <xf numFmtId="0" fontId="0" fillId="0" borderId="3" xfId="0" applyBorder="1"/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9" fontId="5" fillId="0" borderId="0" xfId="0" applyNumberFormat="1" applyFont="1" applyBorder="1"/>
    <xf numFmtId="0" fontId="10" fillId="0" borderId="5" xfId="0" applyFont="1" applyBorder="1"/>
    <xf numFmtId="0" fontId="0" fillId="0" borderId="6" xfId="0" applyBorder="1"/>
    <xf numFmtId="0" fontId="5" fillId="0" borderId="1" xfId="0" applyFont="1" applyBorder="1"/>
    <xf numFmtId="0" fontId="0" fillId="0" borderId="1" xfId="0" applyBorder="1"/>
    <xf numFmtId="0" fontId="11" fillId="0" borderId="4" xfId="0" applyFont="1" applyBorder="1"/>
    <xf numFmtId="0" fontId="11" fillId="0" borderId="0" xfId="0" applyFont="1" applyBorder="1"/>
    <xf numFmtId="10" fontId="0" fillId="0" borderId="0" xfId="2" applyNumberFormat="1" applyFont="1" applyBorder="1"/>
    <xf numFmtId="0" fontId="7" fillId="0" borderId="0" xfId="1" applyNumberFormat="1" applyFont="1" applyBorder="1" applyAlignment="1">
      <alignment horizontal="center" vertical="center"/>
    </xf>
    <xf numFmtId="9" fontId="5" fillId="0" borderId="0" xfId="2" applyNumberFormat="1" applyFont="1"/>
    <xf numFmtId="164" fontId="0" fillId="0" borderId="0" xfId="1" applyNumberFormat="1" applyFont="1" applyAlignment="1">
      <alignment horizontal="left"/>
    </xf>
    <xf numFmtId="0" fontId="14" fillId="0" borderId="0" xfId="6" applyFont="1"/>
    <xf numFmtId="0" fontId="13" fillId="0" borderId="0" xfId="6"/>
    <xf numFmtId="168" fontId="13" fillId="0" borderId="0" xfId="6" applyNumberFormat="1"/>
    <xf numFmtId="167" fontId="13" fillId="0" borderId="0" xfId="2" applyNumberFormat="1" applyFont="1"/>
    <xf numFmtId="168" fontId="13" fillId="0" borderId="1" xfId="6" applyNumberFormat="1" applyBorder="1"/>
    <xf numFmtId="10" fontId="14" fillId="0" borderId="0" xfId="2" applyNumberFormat="1" applyFont="1"/>
    <xf numFmtId="10" fontId="13" fillId="0" borderId="0" xfId="2" applyNumberFormat="1" applyFont="1"/>
    <xf numFmtId="0" fontId="15" fillId="3" borderId="0" xfId="5" applyFont="1"/>
    <xf numFmtId="10" fontId="15" fillId="3" borderId="0" xfId="5" applyNumberFormat="1" applyFont="1"/>
    <xf numFmtId="10" fontId="13" fillId="0" borderId="0" xfId="6" applyNumberFormat="1"/>
    <xf numFmtId="2" fontId="14" fillId="0" borderId="0" xfId="6" applyNumberFormat="1" applyFont="1"/>
    <xf numFmtId="2" fontId="13" fillId="0" borderId="0" xfId="2" applyNumberFormat="1" applyFont="1"/>
    <xf numFmtId="2" fontId="14" fillId="0" borderId="0" xfId="2" applyNumberFormat="1" applyFont="1"/>
    <xf numFmtId="2" fontId="13" fillId="0" borderId="0" xfId="6" applyNumberFormat="1"/>
    <xf numFmtId="169" fontId="13" fillId="0" borderId="0" xfId="2" applyNumberFormat="1" applyFont="1"/>
    <xf numFmtId="43" fontId="6" fillId="2" borderId="2" xfId="3" applyNumberFormat="1" applyFont="1" applyAlignment="1" applyProtection="1">
      <alignment horizontal="center"/>
    </xf>
    <xf numFmtId="43" fontId="0" fillId="0" borderId="1" xfId="1" applyFont="1" applyBorder="1"/>
    <xf numFmtId="43" fontId="5" fillId="0" borderId="1" xfId="1" applyFont="1" applyBorder="1"/>
    <xf numFmtId="43" fontId="0" fillId="0" borderId="1" xfId="1" applyFont="1" applyFill="1" applyBorder="1"/>
    <xf numFmtId="10" fontId="0" fillId="0" borderId="0" xfId="0" applyNumberFormat="1"/>
    <xf numFmtId="0" fontId="16" fillId="0" borderId="0" xfId="6" applyFont="1"/>
    <xf numFmtId="164" fontId="0" fillId="0" borderId="0" xfId="0" applyNumberFormat="1"/>
    <xf numFmtId="0" fontId="13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168" fontId="13" fillId="0" borderId="0" xfId="4" applyNumberFormat="1" applyFont="1"/>
    <xf numFmtId="168" fontId="0" fillId="0" borderId="0" xfId="1" applyNumberFormat="1" applyFont="1"/>
    <xf numFmtId="168" fontId="5" fillId="0" borderId="0" xfId="1" applyNumberFormat="1" applyFont="1"/>
    <xf numFmtId="168" fontId="5" fillId="0" borderId="0" xfId="0" applyNumberFormat="1" applyFont="1"/>
    <xf numFmtId="0" fontId="14" fillId="0" borderId="3" xfId="6" applyFont="1" applyBorder="1"/>
    <xf numFmtId="0" fontId="14" fillId="0" borderId="6" xfId="6" applyFont="1" applyBorder="1"/>
    <xf numFmtId="168" fontId="14" fillId="0" borderId="0" xfId="6" applyNumberFormat="1" applyFont="1"/>
    <xf numFmtId="6" fontId="13" fillId="0" borderId="0" xfId="6" applyNumberFormat="1"/>
    <xf numFmtId="0" fontId="13" fillId="0" borderId="0" xfId="6" applyFill="1"/>
    <xf numFmtId="6" fontId="0" fillId="0" borderId="0" xfId="0" applyNumberFormat="1"/>
    <xf numFmtId="10" fontId="14" fillId="0" borderId="0" xfId="6" applyNumberFormat="1" applyFont="1"/>
  </cellXfs>
  <cellStyles count="7">
    <cellStyle name="Calculation" xfId="3" builtinId="22"/>
    <cellStyle name="Comma" xfId="1" builtinId="3"/>
    <cellStyle name="Currency" xfId="4" builtinId="4"/>
    <cellStyle name="Excel Built-in Normal" xfId="6"/>
    <cellStyle name="Good" xfId="5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zbuysell.com/Business-Opportunity/Growing-Profitable-Computer-IT-Networking-Consulting-Co/669083/?d=%2fwEFSiUyZmNvbG9yYWRvJTJmY29tcHV0ZXItYW5kLXNvZnR3YXJlLXNob3BzLWZvci1zYWxlJTJmJTNmcSUzZCUyZndFRkJYSjBjejB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0"/>
  <sheetViews>
    <sheetView tabSelected="1" workbookViewId="0">
      <selection activeCell="O89" sqref="O89"/>
    </sheetView>
  </sheetViews>
  <sheetFormatPr defaultRowHeight="15" x14ac:dyDescent="0.25"/>
  <cols>
    <col min="1" max="1" width="55.28515625" style="1" customWidth="1"/>
    <col min="2" max="2" width="9.7109375" style="1" bestFit="1" customWidth="1"/>
    <col min="3" max="3" width="4.85546875" style="1" customWidth="1"/>
    <col min="4" max="4" width="12.5703125" style="1" bestFit="1" customWidth="1"/>
    <col min="5" max="5" width="6.42578125" style="16" customWidth="1"/>
    <col min="6" max="6" width="11.5703125" style="1" bestFit="1" customWidth="1"/>
    <col min="7" max="7" width="6.42578125" style="16" customWidth="1"/>
    <col min="8" max="8" width="11.5703125" style="1" bestFit="1" customWidth="1"/>
    <col min="9" max="9" width="5.7109375" style="21" customWidth="1"/>
    <col min="10" max="10" width="11.7109375" customWidth="1"/>
    <col min="11" max="11" width="8.140625" style="21" bestFit="1" customWidth="1"/>
    <col min="12" max="12" width="11.7109375" customWidth="1"/>
    <col min="13" max="13" width="7.140625" style="21" bestFit="1" customWidth="1"/>
    <col min="14" max="14" width="7.28515625" customWidth="1"/>
    <col min="15" max="15" width="23.85546875" customWidth="1"/>
    <col min="16" max="16" width="7.7109375" customWidth="1"/>
    <col min="17" max="17" width="10.5703125" bestFit="1" customWidth="1"/>
    <col min="18" max="18" width="26.28515625" customWidth="1"/>
  </cols>
  <sheetData>
    <row r="1" spans="1:19" ht="21" x14ac:dyDescent="0.35">
      <c r="A1" s="78" t="s">
        <v>89</v>
      </c>
      <c r="B1"/>
      <c r="C1"/>
      <c r="D1"/>
      <c r="E1" s="6"/>
      <c r="F1" s="6"/>
      <c r="G1" s="6"/>
      <c r="H1" s="6"/>
      <c r="I1" s="7"/>
      <c r="J1" s="7"/>
      <c r="K1" s="19"/>
      <c r="L1" s="7"/>
      <c r="M1" s="19"/>
      <c r="N1" s="7"/>
    </row>
    <row r="2" spans="1:19" ht="15.75" x14ac:dyDescent="0.25">
      <c r="B2" s="60" t="s">
        <v>67</v>
      </c>
      <c r="C2" s="38"/>
      <c r="D2" s="37">
        <v>2013</v>
      </c>
      <c r="E2" s="38"/>
      <c r="F2" s="37">
        <v>2014</v>
      </c>
      <c r="G2" s="38"/>
      <c r="H2" s="37">
        <v>2015</v>
      </c>
      <c r="I2" s="39"/>
      <c r="J2" s="40">
        <v>2016</v>
      </c>
      <c r="K2" s="39"/>
      <c r="L2" s="40">
        <v>2017</v>
      </c>
      <c r="N2" s="48"/>
      <c r="O2" s="57" t="s">
        <v>40</v>
      </c>
      <c r="P2" s="49"/>
      <c r="Q2" s="50"/>
      <c r="R2" s="50"/>
      <c r="S2" s="50"/>
    </row>
    <row r="3" spans="1:19" x14ac:dyDescent="0.25">
      <c r="A3" s="2" t="s">
        <v>12</v>
      </c>
      <c r="B3" s="2"/>
      <c r="C3" s="6"/>
      <c r="D3" s="6"/>
      <c r="E3" s="9"/>
      <c r="F3" s="6"/>
      <c r="G3" s="9"/>
      <c r="H3" s="6"/>
      <c r="I3" s="19"/>
      <c r="J3" s="31"/>
      <c r="K3" s="19"/>
      <c r="N3" s="51"/>
      <c r="O3" s="7"/>
      <c r="P3" s="19"/>
      <c r="Q3" s="7"/>
      <c r="R3" s="7"/>
      <c r="S3" s="7"/>
    </row>
    <row r="4" spans="1:19" x14ac:dyDescent="0.25">
      <c r="A4" s="2" t="s">
        <v>52</v>
      </c>
      <c r="B4" s="2"/>
      <c r="C4" s="6"/>
      <c r="D4" s="8">
        <v>140000</v>
      </c>
      <c r="E4" s="10"/>
      <c r="F4" s="8">
        <f>D4*($M$4+1)</f>
        <v>160440</v>
      </c>
      <c r="G4" s="10"/>
      <c r="H4" s="8">
        <f>F4*($M$4+1)</f>
        <v>183864.24</v>
      </c>
      <c r="I4" s="20"/>
      <c r="J4" s="8">
        <f>H4*($M$4+1)</f>
        <v>210708.41903999998</v>
      </c>
      <c r="L4" s="8">
        <f>J4*($M$4+1)</f>
        <v>241471.84821983994</v>
      </c>
      <c r="M4" s="42">
        <v>0.14599999999999999</v>
      </c>
      <c r="N4" s="51"/>
      <c r="O4" s="7" t="s">
        <v>66</v>
      </c>
      <c r="P4" s="19"/>
      <c r="Q4" s="7"/>
      <c r="R4" s="7"/>
      <c r="S4" s="7"/>
    </row>
    <row r="5" spans="1:19" x14ac:dyDescent="0.25">
      <c r="A5" s="3" t="s">
        <v>51</v>
      </c>
      <c r="B5" s="3"/>
      <c r="C5" s="6"/>
      <c r="D5" s="59">
        <v>0.01</v>
      </c>
      <c r="E5" s="9"/>
      <c r="F5" s="59">
        <v>0.01</v>
      </c>
      <c r="G5" s="9"/>
      <c r="H5" s="59">
        <v>0.01</v>
      </c>
      <c r="I5" s="19"/>
      <c r="J5" s="59">
        <v>0.01</v>
      </c>
      <c r="L5" s="59">
        <v>0.01</v>
      </c>
      <c r="N5" s="51"/>
      <c r="O5" s="7"/>
      <c r="P5" s="19"/>
      <c r="Q5" s="7"/>
      <c r="R5" s="7"/>
      <c r="S5" s="7"/>
    </row>
    <row r="6" spans="1:19" x14ac:dyDescent="0.25">
      <c r="A6" s="1" t="s">
        <v>50</v>
      </c>
      <c r="D6" s="8">
        <f>D4*D5</f>
        <v>1400</v>
      </c>
      <c r="E6" s="10"/>
      <c r="F6" s="8">
        <f>F4*F5</f>
        <v>1604.4</v>
      </c>
      <c r="G6" s="10"/>
      <c r="H6" s="8">
        <f>H4*H5</f>
        <v>1838.6424</v>
      </c>
      <c r="I6" s="10"/>
      <c r="J6" s="8">
        <f>J4*J5</f>
        <v>2107.0841903999999</v>
      </c>
      <c r="L6" s="8">
        <f>L4*L5</f>
        <v>2414.7184821983997</v>
      </c>
      <c r="M6" s="10"/>
      <c r="N6" s="51"/>
      <c r="O6" s="7" t="s">
        <v>41</v>
      </c>
      <c r="P6" s="24"/>
      <c r="Q6" s="7"/>
      <c r="R6" s="7"/>
      <c r="S6" s="7"/>
    </row>
    <row r="7" spans="1:19" x14ac:dyDescent="0.25">
      <c r="A7" s="3" t="s">
        <v>49</v>
      </c>
      <c r="B7" s="3"/>
      <c r="C7" s="6"/>
      <c r="D7" s="8">
        <v>200</v>
      </c>
      <c r="E7" s="10"/>
      <c r="F7" s="8">
        <v>200</v>
      </c>
      <c r="G7" s="10"/>
      <c r="H7" s="8">
        <v>200</v>
      </c>
      <c r="I7" s="10"/>
      <c r="J7" s="8">
        <v>200</v>
      </c>
      <c r="L7" s="8">
        <v>200</v>
      </c>
      <c r="M7" s="10"/>
      <c r="N7" s="51"/>
      <c r="O7" s="7" t="s">
        <v>48</v>
      </c>
      <c r="P7" s="52">
        <v>0.03</v>
      </c>
      <c r="Q7" s="7"/>
      <c r="R7" s="7"/>
      <c r="S7" s="7"/>
    </row>
    <row r="8" spans="1:19" x14ac:dyDescent="0.25">
      <c r="A8" s="3" t="s">
        <v>4</v>
      </c>
      <c r="B8" s="3"/>
      <c r="C8" s="6"/>
      <c r="D8" s="41">
        <f>D6*D7</f>
        <v>280000</v>
      </c>
      <c r="E8" s="10"/>
      <c r="F8" s="41">
        <f>F6*F7</f>
        <v>320880</v>
      </c>
      <c r="G8" s="10"/>
      <c r="H8" s="41">
        <f>H6*H7</f>
        <v>367728.48</v>
      </c>
      <c r="I8" s="10"/>
      <c r="J8" s="41">
        <f>J6*J7</f>
        <v>421416.83807999996</v>
      </c>
      <c r="L8" s="41">
        <f>L6*L7</f>
        <v>482943.69643967994</v>
      </c>
      <c r="M8" s="10"/>
      <c r="N8" s="51"/>
      <c r="O8" s="7" t="s">
        <v>45</v>
      </c>
      <c r="P8" s="19">
        <v>300</v>
      </c>
      <c r="Q8" s="7"/>
      <c r="R8" s="7" t="s">
        <v>46</v>
      </c>
      <c r="S8" s="7"/>
    </row>
    <row r="9" spans="1:19" x14ac:dyDescent="0.25">
      <c r="A9" s="3" t="s">
        <v>5</v>
      </c>
      <c r="B9" s="3"/>
      <c r="C9" s="6"/>
      <c r="D9" s="5">
        <v>0</v>
      </c>
      <c r="E9" s="11"/>
      <c r="F9" s="5">
        <v>0</v>
      </c>
      <c r="G9" s="11"/>
      <c r="H9" s="5">
        <v>0</v>
      </c>
      <c r="I9" s="11"/>
      <c r="J9" s="5">
        <v>0</v>
      </c>
      <c r="L9" s="5">
        <v>0</v>
      </c>
      <c r="N9" s="51"/>
      <c r="O9" s="7" t="s">
        <v>43</v>
      </c>
      <c r="P9" s="19">
        <v>300</v>
      </c>
      <c r="Q9" s="7"/>
      <c r="R9" s="7"/>
      <c r="S9" s="7"/>
    </row>
    <row r="10" spans="1:19" x14ac:dyDescent="0.25">
      <c r="A10" s="3" t="s">
        <v>6</v>
      </c>
      <c r="B10" s="3"/>
      <c r="C10" s="6"/>
      <c r="D10" s="8">
        <f>D8-D9</f>
        <v>280000</v>
      </c>
      <c r="E10" s="10"/>
      <c r="F10" s="8">
        <f>F8-F9</f>
        <v>320880</v>
      </c>
      <c r="G10" s="10"/>
      <c r="H10" s="8">
        <f>H8-H9</f>
        <v>367728.48</v>
      </c>
      <c r="I10" s="20"/>
      <c r="J10" s="8">
        <f>J8-J9</f>
        <v>421416.83807999996</v>
      </c>
      <c r="L10" s="8">
        <f>L8-L9</f>
        <v>482943.69643967994</v>
      </c>
      <c r="N10" s="51"/>
      <c r="O10" s="7" t="s">
        <v>42</v>
      </c>
      <c r="P10" s="19">
        <v>300</v>
      </c>
      <c r="Q10" s="7"/>
      <c r="R10" s="7"/>
      <c r="S10" s="7"/>
    </row>
    <row r="11" spans="1:19" x14ac:dyDescent="0.25">
      <c r="A11" s="3"/>
      <c r="B11" s="3"/>
      <c r="C11" s="6"/>
      <c r="D11" s="8"/>
      <c r="E11" s="10"/>
      <c r="F11" s="8"/>
      <c r="G11" s="10"/>
      <c r="H11" s="8"/>
      <c r="I11" s="20"/>
      <c r="J11" s="8"/>
      <c r="L11" s="8"/>
      <c r="N11" s="51"/>
      <c r="O11" s="7"/>
      <c r="P11" s="19"/>
      <c r="Q11" s="7"/>
      <c r="R11" s="7"/>
      <c r="S11" s="7"/>
    </row>
    <row r="12" spans="1:19" x14ac:dyDescent="0.25">
      <c r="A12" s="3" t="s">
        <v>111</v>
      </c>
      <c r="B12" s="3"/>
      <c r="C12" s="6"/>
      <c r="D12" s="8"/>
      <c r="E12" s="10"/>
      <c r="F12" s="8"/>
      <c r="G12" s="10"/>
      <c r="H12" s="8"/>
      <c r="I12" s="20"/>
      <c r="J12" s="8"/>
      <c r="L12" s="8"/>
      <c r="N12" s="51"/>
      <c r="O12" s="7"/>
      <c r="P12" s="19"/>
      <c r="Q12" s="7"/>
      <c r="R12" s="7"/>
      <c r="S12" s="7"/>
    </row>
    <row r="13" spans="1:19" x14ac:dyDescent="0.25">
      <c r="A13" s="3" t="s">
        <v>62</v>
      </c>
      <c r="B13" s="3"/>
      <c r="C13" s="6"/>
      <c r="D13" s="8">
        <f>10*40*52</f>
        <v>20800</v>
      </c>
      <c r="E13" s="12"/>
      <c r="F13" s="8">
        <f>D13*(1+$M$13)</f>
        <v>21424</v>
      </c>
      <c r="G13" s="12"/>
      <c r="H13" s="8">
        <f>F13*(1+$M$13)</f>
        <v>22066.720000000001</v>
      </c>
      <c r="I13" s="12"/>
      <c r="J13" s="8">
        <f>H13*(1+$M$13)</f>
        <v>22728.721600000001</v>
      </c>
      <c r="L13" s="8">
        <f>J13*(1+$M$13)</f>
        <v>23410.583248000003</v>
      </c>
      <c r="M13" s="43">
        <v>0.03</v>
      </c>
      <c r="N13" s="51"/>
      <c r="O13" s="7" t="s">
        <v>56</v>
      </c>
      <c r="P13" s="19">
        <f>35*12</f>
        <v>420</v>
      </c>
      <c r="Q13" s="7"/>
      <c r="R13" s="7" t="s">
        <v>57</v>
      </c>
      <c r="S13" s="7"/>
    </row>
    <row r="14" spans="1:19" x14ac:dyDescent="0.25">
      <c r="A14" s="3" t="s">
        <v>7</v>
      </c>
      <c r="B14" s="8">
        <f>$P$19+$P$13+$P$9+$P$10</f>
        <v>1380</v>
      </c>
      <c r="C14" s="6"/>
      <c r="D14" s="8">
        <f>$P$19+$P$13+$P$9+$P$10</f>
        <v>1380</v>
      </c>
      <c r="E14" s="12"/>
      <c r="F14" s="8">
        <f>$P$19+$P$13+$P$9+$P$10</f>
        <v>1380</v>
      </c>
      <c r="G14" s="12"/>
      <c r="H14" s="8">
        <f>$P$19+$P$13+$P$9+$P$10</f>
        <v>1380</v>
      </c>
      <c r="I14" s="12"/>
      <c r="J14" s="8">
        <f>$P$19+$P$13+$P$9+$P$10</f>
        <v>1380</v>
      </c>
      <c r="L14" s="8">
        <f>$P$19+$P$13+$P$9+$P$10</f>
        <v>1380</v>
      </c>
      <c r="N14" s="51"/>
      <c r="O14" s="7" t="s">
        <v>44</v>
      </c>
      <c r="P14" s="19">
        <v>900</v>
      </c>
      <c r="Q14" s="7"/>
      <c r="R14" s="7" t="s">
        <v>47</v>
      </c>
      <c r="S14" s="7"/>
    </row>
    <row r="15" spans="1:19" x14ac:dyDescent="0.25">
      <c r="A15" s="3" t="s">
        <v>55</v>
      </c>
      <c r="B15" s="3"/>
      <c r="C15" s="6"/>
      <c r="D15" s="8">
        <f>$P$14*12</f>
        <v>10800</v>
      </c>
      <c r="E15" s="12"/>
      <c r="F15" s="8">
        <f>$P$14*12</f>
        <v>10800</v>
      </c>
      <c r="G15" s="12"/>
      <c r="H15" s="8">
        <f>$P$14*12</f>
        <v>10800</v>
      </c>
      <c r="I15" s="12"/>
      <c r="J15" s="8">
        <f>$P$14*12</f>
        <v>10800</v>
      </c>
      <c r="L15" s="8">
        <f>$P$14*12</f>
        <v>10800</v>
      </c>
      <c r="N15" s="51"/>
      <c r="O15" s="7"/>
      <c r="P15" s="19"/>
      <c r="Q15" s="7"/>
      <c r="R15" s="7"/>
      <c r="S15" s="7"/>
    </row>
    <row r="16" spans="1:19" x14ac:dyDescent="0.25">
      <c r="A16" s="3" t="s">
        <v>53</v>
      </c>
      <c r="B16" s="3"/>
      <c r="C16" s="6"/>
      <c r="D16" s="8">
        <f>D10*E16</f>
        <v>8400</v>
      </c>
      <c r="E16" s="12">
        <v>0.03</v>
      </c>
      <c r="F16" s="8">
        <f>F10*G16</f>
        <v>6417.6</v>
      </c>
      <c r="G16" s="12">
        <v>0.02</v>
      </c>
      <c r="H16" s="8">
        <f>H10*I16</f>
        <v>3677.2847999999999</v>
      </c>
      <c r="I16" s="12">
        <v>0.01</v>
      </c>
      <c r="J16" s="8">
        <f>J10*M16</f>
        <v>4214.1683807999998</v>
      </c>
      <c r="K16" s="61">
        <v>0.01</v>
      </c>
      <c r="L16" s="8">
        <f>L10*M16</f>
        <v>4829.4369643967993</v>
      </c>
      <c r="M16" s="43">
        <v>0.01</v>
      </c>
      <c r="N16" s="51"/>
      <c r="O16" s="7" t="s">
        <v>2</v>
      </c>
      <c r="P16" s="19">
        <v>4000</v>
      </c>
      <c r="Q16" s="7"/>
      <c r="R16" s="7" t="s">
        <v>90</v>
      </c>
      <c r="S16" s="7"/>
    </row>
    <row r="17" spans="1:19" x14ac:dyDescent="0.25">
      <c r="A17" s="1" t="s">
        <v>93</v>
      </c>
      <c r="D17" s="4">
        <f>D10-SUM(D13:D16)</f>
        <v>238620</v>
      </c>
      <c r="E17" s="17"/>
      <c r="F17" s="4">
        <f>F10-SUM(F13:F16)</f>
        <v>280858.40000000002</v>
      </c>
      <c r="G17" s="17"/>
      <c r="H17" s="4">
        <f>H10-SUM(H13:H16)</f>
        <v>329804.47519999999</v>
      </c>
      <c r="I17" s="23"/>
      <c r="J17" s="4">
        <f>J10-SUM(J13:J16)</f>
        <v>382293.94809919997</v>
      </c>
      <c r="K17" s="23"/>
      <c r="L17" s="4">
        <f>L10-SUM(L13:L16)</f>
        <v>442523.67622728314</v>
      </c>
      <c r="N17" s="51"/>
      <c r="O17" s="7" t="s">
        <v>54</v>
      </c>
      <c r="P17" s="42">
        <f>M23</f>
        <v>7.4999999999999997E-2</v>
      </c>
      <c r="Q17" s="7"/>
      <c r="R17" s="7" t="s">
        <v>91</v>
      </c>
      <c r="S17" s="7"/>
    </row>
    <row r="18" spans="1:19" x14ac:dyDescent="0.25">
      <c r="N18" s="51"/>
      <c r="O18" s="7"/>
      <c r="P18" s="42"/>
      <c r="Q18" s="7"/>
      <c r="R18" s="7"/>
      <c r="S18" s="7"/>
    </row>
    <row r="19" spans="1:19" x14ac:dyDescent="0.25">
      <c r="A19" s="3" t="s">
        <v>2</v>
      </c>
      <c r="B19" s="3"/>
      <c r="C19" s="6"/>
      <c r="D19" s="8">
        <v>4000</v>
      </c>
      <c r="E19" s="13"/>
      <c r="F19" s="8">
        <v>4000</v>
      </c>
      <c r="G19" s="13"/>
      <c r="H19" s="8">
        <v>4000</v>
      </c>
      <c r="I19" s="13"/>
      <c r="J19" s="8">
        <v>4000</v>
      </c>
      <c r="L19" s="8">
        <v>4000</v>
      </c>
      <c r="N19" s="51"/>
      <c r="O19" s="7" t="s">
        <v>58</v>
      </c>
      <c r="P19" s="19">
        <f>30*12</f>
        <v>360</v>
      </c>
      <c r="Q19" s="7"/>
      <c r="R19" s="7" t="s">
        <v>59</v>
      </c>
      <c r="S19" s="7"/>
    </row>
    <row r="20" spans="1:19" x14ac:dyDescent="0.25">
      <c r="A20" s="3" t="s">
        <v>8</v>
      </c>
      <c r="B20" s="3"/>
      <c r="C20" s="6"/>
      <c r="D20" s="5">
        <f>B48*$M$20</f>
        <v>5575.82</v>
      </c>
      <c r="E20" s="14"/>
      <c r="F20" s="5">
        <v>0</v>
      </c>
      <c r="G20" s="18"/>
      <c r="H20" s="5">
        <v>0</v>
      </c>
      <c r="I20" s="18"/>
      <c r="J20" s="33">
        <v>0</v>
      </c>
      <c r="L20" s="33">
        <v>0</v>
      </c>
      <c r="M20" s="44">
        <v>7.9000000000000001E-2</v>
      </c>
      <c r="N20" s="51"/>
      <c r="O20" s="7" t="s">
        <v>60</v>
      </c>
      <c r="P20" s="42">
        <f>M20</f>
        <v>7.9000000000000001E-2</v>
      </c>
      <c r="Q20" s="7"/>
      <c r="R20" s="7" t="s">
        <v>61</v>
      </c>
      <c r="S20" s="7" t="s">
        <v>28</v>
      </c>
    </row>
    <row r="21" spans="1:19" x14ac:dyDescent="0.25">
      <c r="A21" s="3" t="s">
        <v>9</v>
      </c>
      <c r="B21" s="3"/>
      <c r="C21" s="6"/>
      <c r="D21" s="8">
        <f>D10-(SUM(D14:D20))</f>
        <v>11224.179999999993</v>
      </c>
      <c r="E21" s="10"/>
      <c r="F21" s="8">
        <f>F10-(SUM(F14:F20))</f>
        <v>17424</v>
      </c>
      <c r="G21" s="10"/>
      <c r="H21" s="8">
        <f>H10-(SUM(H14:H20))</f>
        <v>18066.719999999972</v>
      </c>
      <c r="I21" s="20"/>
      <c r="J21" s="8">
        <f>J10-(SUM(J14:J20))</f>
        <v>18728.72159999999</v>
      </c>
      <c r="L21" s="8">
        <f>L10-(SUM(L14:L20))</f>
        <v>19410.58324800001</v>
      </c>
      <c r="N21" s="51"/>
      <c r="O21" s="19"/>
      <c r="P21" s="7"/>
      <c r="Q21" s="7"/>
      <c r="R21" s="7"/>
      <c r="S21" s="7"/>
    </row>
    <row r="22" spans="1:19" x14ac:dyDescent="0.25">
      <c r="A22" s="3"/>
      <c r="B22" s="3"/>
      <c r="C22" s="6"/>
      <c r="D22" s="8"/>
      <c r="E22" s="10"/>
      <c r="F22" s="8"/>
      <c r="G22" s="10"/>
      <c r="H22" s="8"/>
      <c r="I22" s="20"/>
      <c r="J22" s="32"/>
      <c r="L22" s="32"/>
      <c r="N22" s="51"/>
      <c r="O22" s="19"/>
      <c r="P22" s="7"/>
      <c r="Q22" s="7"/>
      <c r="R22" s="7"/>
      <c r="S22" s="7"/>
    </row>
    <row r="23" spans="1:19" x14ac:dyDescent="0.25">
      <c r="A23" s="3" t="s">
        <v>10</v>
      </c>
      <c r="B23" s="3"/>
      <c r="C23" s="6"/>
      <c r="D23" s="5">
        <f>D21*$M$23</f>
        <v>841.81349999999941</v>
      </c>
      <c r="E23" s="14"/>
      <c r="F23" s="5">
        <f>F21*$M$23</f>
        <v>1306.8</v>
      </c>
      <c r="G23" s="14"/>
      <c r="H23" s="5">
        <f>H21*$M$23</f>
        <v>1355.0039999999979</v>
      </c>
      <c r="I23" s="14"/>
      <c r="J23" s="5">
        <f>J21*$M$23</f>
        <v>1404.6541199999992</v>
      </c>
      <c r="L23" s="5">
        <f>L21*$M$23</f>
        <v>1455.7937436000007</v>
      </c>
      <c r="M23" s="44">
        <v>7.4999999999999997E-2</v>
      </c>
      <c r="N23" s="51"/>
      <c r="O23" s="7"/>
      <c r="P23" s="19"/>
      <c r="Q23" s="7"/>
      <c r="R23" s="7"/>
      <c r="S23" s="7"/>
    </row>
    <row r="24" spans="1:19" x14ac:dyDescent="0.25">
      <c r="A24" s="3" t="s">
        <v>11</v>
      </c>
      <c r="B24" s="3"/>
      <c r="C24" s="6"/>
      <c r="D24" s="45">
        <f>D21-D23</f>
        <v>10382.366499999993</v>
      </c>
      <c r="E24" s="46"/>
      <c r="F24" s="45">
        <f>F21-F23</f>
        <v>16117.2</v>
      </c>
      <c r="G24" s="46"/>
      <c r="H24" s="45">
        <f>H21-H23</f>
        <v>16711.715999999975</v>
      </c>
      <c r="I24" s="47"/>
      <c r="J24" s="45">
        <f>J21-J23</f>
        <v>17324.067479999991</v>
      </c>
      <c r="L24" s="45">
        <f>L21-L23</f>
        <v>17954.789504400011</v>
      </c>
      <c r="N24" s="51"/>
      <c r="O24" s="7"/>
      <c r="P24" s="19"/>
      <c r="Q24" s="7"/>
      <c r="R24" s="7"/>
      <c r="S24" s="7"/>
    </row>
    <row r="25" spans="1:19" x14ac:dyDescent="0.25">
      <c r="A25" s="3"/>
      <c r="B25" s="3"/>
      <c r="C25" s="6"/>
      <c r="D25" s="8"/>
      <c r="E25" s="10"/>
      <c r="F25" s="8"/>
      <c r="G25" s="10"/>
      <c r="H25" s="8"/>
      <c r="I25" s="20"/>
      <c r="J25" s="32"/>
      <c r="L25" s="32"/>
      <c r="N25" s="51"/>
      <c r="O25" s="58" t="s">
        <v>64</v>
      </c>
      <c r="P25" s="19"/>
      <c r="Q25" s="7"/>
      <c r="R25" s="7"/>
      <c r="S25" s="7"/>
    </row>
    <row r="26" spans="1:19" x14ac:dyDescent="0.25">
      <c r="A26" s="3"/>
      <c r="B26" s="3"/>
      <c r="C26" s="6"/>
      <c r="D26" s="8"/>
      <c r="E26" s="15"/>
      <c r="F26" s="8"/>
      <c r="G26" s="15"/>
      <c r="H26" s="8"/>
      <c r="I26" s="15"/>
      <c r="J26" s="32"/>
      <c r="L26" s="32"/>
      <c r="N26" s="53">
        <v>1</v>
      </c>
      <c r="O26" s="7" t="s">
        <v>65</v>
      </c>
      <c r="P26" s="19"/>
      <c r="Q26" s="7"/>
      <c r="R26" s="7"/>
      <c r="S26" s="7"/>
    </row>
    <row r="27" spans="1:19" x14ac:dyDescent="0.25">
      <c r="A27" s="3"/>
      <c r="B27" s="3"/>
      <c r="C27" s="6"/>
      <c r="D27" s="6"/>
      <c r="E27" s="9"/>
      <c r="F27" s="6"/>
      <c r="G27" s="9"/>
      <c r="H27" s="6"/>
      <c r="I27" s="19"/>
      <c r="J27" s="31"/>
      <c r="L27" s="31"/>
      <c r="N27" s="53"/>
      <c r="O27" s="7"/>
      <c r="P27" s="19"/>
      <c r="Q27" s="7"/>
      <c r="R27" s="7"/>
      <c r="S27" s="7"/>
    </row>
    <row r="28" spans="1:19" ht="15.75" x14ac:dyDescent="0.25">
      <c r="A28" s="3"/>
      <c r="B28" s="3"/>
      <c r="D28" s="37">
        <v>2013</v>
      </c>
      <c r="E28" s="38"/>
      <c r="F28" s="37">
        <v>2014</v>
      </c>
      <c r="G28" s="38"/>
      <c r="H28" s="37">
        <v>2015</v>
      </c>
      <c r="I28" s="39"/>
      <c r="J28" s="40">
        <v>2016</v>
      </c>
      <c r="L28" s="40">
        <v>2017</v>
      </c>
      <c r="N28" s="53"/>
      <c r="O28" s="7"/>
      <c r="P28" s="19"/>
      <c r="Q28" s="7"/>
      <c r="R28" s="7"/>
      <c r="S28" s="7"/>
    </row>
    <row r="29" spans="1:19" x14ac:dyDescent="0.25">
      <c r="A29" s="2" t="s">
        <v>0</v>
      </c>
      <c r="B29" s="2"/>
      <c r="J29" s="34"/>
      <c r="L29" s="34"/>
      <c r="N29" s="54"/>
      <c r="O29" s="55"/>
      <c r="P29" s="56"/>
      <c r="Q29" s="56"/>
      <c r="R29" s="56"/>
      <c r="S29" s="56"/>
    </row>
    <row r="30" spans="1:19" x14ac:dyDescent="0.25">
      <c r="A30" s="2" t="s">
        <v>1</v>
      </c>
      <c r="B30" s="2"/>
    </row>
    <row r="31" spans="1:19" x14ac:dyDescent="0.25">
      <c r="A31" s="3" t="s">
        <v>3</v>
      </c>
      <c r="B31" s="3"/>
      <c r="D31" s="4">
        <v>5000</v>
      </c>
      <c r="E31" s="17"/>
      <c r="F31" s="4">
        <v>5000</v>
      </c>
      <c r="G31" s="17"/>
      <c r="H31" s="4">
        <v>5000</v>
      </c>
      <c r="I31" s="23"/>
      <c r="J31" s="4">
        <v>5000</v>
      </c>
      <c r="L31" s="4">
        <v>29946</v>
      </c>
    </row>
    <row r="32" spans="1:19" x14ac:dyDescent="0.25">
      <c r="A32" s="3" t="s">
        <v>68</v>
      </c>
      <c r="B32" s="3"/>
      <c r="D32" s="4">
        <v>50000</v>
      </c>
      <c r="E32" s="17"/>
      <c r="F32" s="4">
        <v>50000</v>
      </c>
      <c r="G32" s="17"/>
      <c r="H32" s="4">
        <v>50000</v>
      </c>
      <c r="I32" s="23"/>
      <c r="J32" s="4">
        <v>50000</v>
      </c>
      <c r="L32" s="4">
        <v>50000</v>
      </c>
    </row>
    <row r="33" spans="1:13" x14ac:dyDescent="0.25">
      <c r="A33" s="3" t="s">
        <v>13</v>
      </c>
      <c r="B33" s="3"/>
      <c r="D33" s="4">
        <f>(E33/360)*D8</f>
        <v>23333.333333333332</v>
      </c>
      <c r="E33" s="17">
        <v>30</v>
      </c>
      <c r="F33" s="4">
        <f>(G33/360)*F8</f>
        <v>26740</v>
      </c>
      <c r="G33" s="17">
        <v>30</v>
      </c>
      <c r="H33" s="4">
        <f>(I33/360)*H8</f>
        <v>30644.039999999997</v>
      </c>
      <c r="I33" s="23">
        <v>30</v>
      </c>
      <c r="J33" s="4">
        <f>(M33/360)*J8</f>
        <v>35118.069839999996</v>
      </c>
      <c r="L33" s="4">
        <f>(O33/360)*L8</f>
        <v>0</v>
      </c>
      <c r="M33" s="21">
        <v>30</v>
      </c>
    </row>
    <row r="34" spans="1:13" x14ac:dyDescent="0.25">
      <c r="A34" s="3" t="s">
        <v>14</v>
      </c>
      <c r="B34" s="3"/>
      <c r="D34" s="4">
        <f>SUM(D31:D33)</f>
        <v>78333.333333333328</v>
      </c>
      <c r="E34" s="17"/>
      <c r="F34" s="4">
        <f>SUM(F31:F33)</f>
        <v>81740</v>
      </c>
      <c r="G34" s="17"/>
      <c r="H34" s="4">
        <f>SUM(H31:H33)</f>
        <v>85644.04</v>
      </c>
      <c r="I34" s="23"/>
      <c r="J34" s="4">
        <f>SUM(J31:J33)</f>
        <v>90118.069839999996</v>
      </c>
      <c r="L34" s="4">
        <f>SUM(L31:L33)</f>
        <v>79946</v>
      </c>
    </row>
    <row r="35" spans="1:13" x14ac:dyDescent="0.25">
      <c r="A35" s="3"/>
      <c r="B35" s="3"/>
      <c r="D35" s="4"/>
      <c r="E35" s="17"/>
      <c r="F35" s="4"/>
      <c r="G35" s="17"/>
      <c r="H35" s="4"/>
      <c r="I35" s="23"/>
      <c r="J35" s="35"/>
      <c r="L35" s="35"/>
    </row>
    <row r="36" spans="1:13" x14ac:dyDescent="0.25">
      <c r="A36" s="3" t="s">
        <v>15</v>
      </c>
      <c r="B36" s="3"/>
      <c r="D36" s="4">
        <v>20000</v>
      </c>
      <c r="E36" s="17"/>
      <c r="F36" s="4">
        <v>20000</v>
      </c>
      <c r="G36" s="17"/>
      <c r="H36" s="4">
        <v>20000</v>
      </c>
      <c r="I36" s="23"/>
      <c r="J36" s="4">
        <v>20000</v>
      </c>
      <c r="L36" s="4">
        <v>20000</v>
      </c>
    </row>
    <row r="37" spans="1:13" x14ac:dyDescent="0.25">
      <c r="A37" s="3" t="s">
        <v>16</v>
      </c>
      <c r="B37" s="3"/>
      <c r="D37" s="5">
        <f>D19</f>
        <v>4000</v>
      </c>
      <c r="E37" s="11"/>
      <c r="F37" s="5">
        <f>D37+F19</f>
        <v>8000</v>
      </c>
      <c r="G37" s="11"/>
      <c r="H37" s="5">
        <f>F37+H19</f>
        <v>12000</v>
      </c>
      <c r="I37" s="22"/>
      <c r="J37" s="33">
        <f>H37+J19</f>
        <v>16000</v>
      </c>
      <c r="L37" s="33">
        <f>J37+L19</f>
        <v>20000</v>
      </c>
    </row>
    <row r="38" spans="1:13" x14ac:dyDescent="0.25">
      <c r="A38" s="3" t="s">
        <v>17</v>
      </c>
      <c r="B38" s="3"/>
      <c r="D38" s="4">
        <f>D36-D37</f>
        <v>16000</v>
      </c>
      <c r="E38" s="17"/>
      <c r="F38" s="4">
        <f>F36-F37</f>
        <v>12000</v>
      </c>
      <c r="G38" s="17"/>
      <c r="H38" s="4">
        <f>H36-H37</f>
        <v>8000</v>
      </c>
      <c r="I38" s="23"/>
      <c r="J38" s="4">
        <f>J36-J37</f>
        <v>4000</v>
      </c>
      <c r="L38" s="4">
        <f>L36-L37</f>
        <v>0</v>
      </c>
    </row>
    <row r="39" spans="1:13" x14ac:dyDescent="0.25">
      <c r="A39" s="3"/>
      <c r="B39" s="3"/>
      <c r="D39" s="4"/>
      <c r="E39" s="17"/>
      <c r="F39" s="4"/>
      <c r="G39" s="17"/>
      <c r="H39" s="4"/>
      <c r="I39" s="23"/>
      <c r="J39" s="35"/>
      <c r="L39" s="35"/>
    </row>
    <row r="40" spans="1:13" x14ac:dyDescent="0.25">
      <c r="A40" s="2" t="s">
        <v>18</v>
      </c>
      <c r="B40" s="2"/>
      <c r="D40" s="27">
        <f>D34+D38</f>
        <v>94333.333333333328</v>
      </c>
      <c r="E40" s="28"/>
      <c r="F40" s="27">
        <f>F34+F38</f>
        <v>93740</v>
      </c>
      <c r="G40" s="28"/>
      <c r="H40" s="27">
        <f>H34+H38</f>
        <v>93644.04</v>
      </c>
      <c r="I40" s="29"/>
      <c r="J40" s="27">
        <f>J34+J38</f>
        <v>94118.069839999996</v>
      </c>
      <c r="L40" s="27">
        <f>L34+L38</f>
        <v>79946</v>
      </c>
      <c r="M40" s="28"/>
    </row>
    <row r="41" spans="1:13" x14ac:dyDescent="0.25">
      <c r="A41" s="3"/>
      <c r="B41" s="3"/>
      <c r="D41" s="4"/>
      <c r="E41" s="17"/>
      <c r="F41" s="4"/>
      <c r="G41" s="17"/>
      <c r="H41" s="4"/>
      <c r="I41" s="23"/>
      <c r="J41" s="35"/>
      <c r="K41" s="17"/>
      <c r="L41" s="35"/>
    </row>
    <row r="42" spans="1:13" x14ac:dyDescent="0.25">
      <c r="A42" s="2" t="s">
        <v>27</v>
      </c>
      <c r="B42" s="2"/>
      <c r="D42" s="4"/>
      <c r="E42" s="17"/>
      <c r="F42" s="4"/>
      <c r="G42" s="17"/>
      <c r="H42" s="4"/>
      <c r="I42" s="23"/>
      <c r="J42" s="35"/>
      <c r="K42" s="17"/>
      <c r="L42" s="35"/>
    </row>
    <row r="43" spans="1:13" x14ac:dyDescent="0.25">
      <c r="A43" s="3" t="s">
        <v>19</v>
      </c>
      <c r="B43" s="3"/>
      <c r="D43" s="4">
        <f>D20</f>
        <v>5575.82</v>
      </c>
      <c r="E43" s="17"/>
      <c r="F43" s="4">
        <f>F20</f>
        <v>0</v>
      </c>
      <c r="G43" s="4"/>
      <c r="H43" s="4">
        <f>H20</f>
        <v>0</v>
      </c>
      <c r="I43" s="23"/>
      <c r="J43" s="4">
        <f>J20</f>
        <v>0</v>
      </c>
      <c r="K43" s="17"/>
      <c r="L43" s="4">
        <f>L20</f>
        <v>0</v>
      </c>
    </row>
    <row r="44" spans="1:13" x14ac:dyDescent="0.25">
      <c r="A44" s="3" t="s">
        <v>29</v>
      </c>
      <c r="B44" s="3"/>
      <c r="D44" s="4">
        <f>D23</f>
        <v>841.81349999999941</v>
      </c>
      <c r="E44" s="17"/>
      <c r="F44" s="4">
        <f>F23</f>
        <v>1306.8</v>
      </c>
      <c r="G44" s="17"/>
      <c r="H44" s="4">
        <f>H23</f>
        <v>1355.0039999999979</v>
      </c>
      <c r="I44" s="23"/>
      <c r="J44" s="4">
        <f>J23</f>
        <v>1404.6541199999992</v>
      </c>
      <c r="K44" s="17"/>
      <c r="L44" s="4">
        <f>L23</f>
        <v>1455.7937436000007</v>
      </c>
    </row>
    <row r="45" spans="1:13" x14ac:dyDescent="0.25">
      <c r="A45" s="3" t="s">
        <v>20</v>
      </c>
      <c r="B45" s="3"/>
      <c r="D45" s="4">
        <f>(E45/360)*D15</f>
        <v>1350</v>
      </c>
      <c r="E45" s="26">
        <v>45</v>
      </c>
      <c r="F45" s="4">
        <f>(G45/360)*F15</f>
        <v>1350</v>
      </c>
      <c r="G45" s="26">
        <v>45</v>
      </c>
      <c r="H45" s="4">
        <f>(I45/360)*H15</f>
        <v>1350</v>
      </c>
      <c r="I45" s="26">
        <v>45</v>
      </c>
      <c r="J45" s="4">
        <f>(K45/360)*J15</f>
        <v>1350</v>
      </c>
      <c r="K45" s="26">
        <v>45</v>
      </c>
      <c r="L45" s="4">
        <f>(M45/360)*L15</f>
        <v>0</v>
      </c>
      <c r="M45" s="25"/>
    </row>
    <row r="46" spans="1:13" x14ac:dyDescent="0.25">
      <c r="A46" s="3" t="s">
        <v>21</v>
      </c>
      <c r="B46" s="3"/>
      <c r="D46" s="4">
        <f>SUM(D43:D45)</f>
        <v>7767.633499999999</v>
      </c>
      <c r="E46" s="17"/>
      <c r="F46" s="4">
        <f>SUM(F43:F45)</f>
        <v>2656.8</v>
      </c>
      <c r="G46" s="17"/>
      <c r="H46" s="4">
        <f>SUM(H43:H45)</f>
        <v>2705.0039999999981</v>
      </c>
      <c r="I46" s="23"/>
      <c r="J46" s="4">
        <f>SUM(J43:J45)</f>
        <v>2754.6541199999992</v>
      </c>
      <c r="K46" s="17"/>
      <c r="L46" s="4">
        <f>SUM(L43:L45)</f>
        <v>1455.7937436000007</v>
      </c>
    </row>
    <row r="47" spans="1:13" x14ac:dyDescent="0.25">
      <c r="A47" s="3"/>
      <c r="B47" s="3"/>
      <c r="D47" s="4"/>
      <c r="E47" s="17"/>
      <c r="F47" s="4"/>
      <c r="G47" s="17"/>
      <c r="H47" s="4"/>
      <c r="I47" s="23"/>
      <c r="J47" s="35"/>
      <c r="K47" s="17"/>
      <c r="L47" s="35"/>
    </row>
    <row r="48" spans="1:13" x14ac:dyDescent="0.25">
      <c r="A48" s="3" t="s">
        <v>22</v>
      </c>
      <c r="B48" s="62">
        <f>D32+SUM(D14:D16)</f>
        <v>70580</v>
      </c>
      <c r="D48" s="4">
        <f>SUM(D14:D16)</f>
        <v>20580</v>
      </c>
      <c r="E48" s="17"/>
      <c r="F48" s="4">
        <v>0</v>
      </c>
      <c r="G48" s="17"/>
      <c r="H48" s="4">
        <v>0</v>
      </c>
      <c r="I48" s="23"/>
      <c r="J48" s="35">
        <v>0</v>
      </c>
      <c r="K48" s="17"/>
      <c r="L48" s="35">
        <v>0</v>
      </c>
    </row>
    <row r="49" spans="1:15" x14ac:dyDescent="0.25">
      <c r="A49" s="3" t="s">
        <v>63</v>
      </c>
      <c r="B49" s="3"/>
      <c r="D49" s="4">
        <f>SUM(D48,D46)</f>
        <v>28347.6335</v>
      </c>
      <c r="E49" s="17"/>
      <c r="F49" s="4">
        <f>SUM(F48,F46)</f>
        <v>2656.8</v>
      </c>
      <c r="G49" s="17"/>
      <c r="H49" s="4">
        <f>SUM(H48,H46)</f>
        <v>2705.0039999999981</v>
      </c>
      <c r="I49" s="23"/>
      <c r="J49" s="4">
        <f>SUM(J48,J46)</f>
        <v>2754.6541199999992</v>
      </c>
      <c r="K49" s="17"/>
      <c r="L49" s="4">
        <f>SUM(L48,L46)</f>
        <v>1455.7937436000007</v>
      </c>
    </row>
    <row r="50" spans="1:15" x14ac:dyDescent="0.25">
      <c r="A50" s="3"/>
      <c r="B50" s="3"/>
      <c r="D50" s="4"/>
      <c r="E50" s="17"/>
      <c r="F50" s="4"/>
      <c r="G50" s="17"/>
      <c r="H50" s="4"/>
      <c r="I50" s="23"/>
      <c r="J50" s="35"/>
      <c r="K50" s="17"/>
      <c r="L50" s="35"/>
    </row>
    <row r="51" spans="1:15" x14ac:dyDescent="0.25">
      <c r="A51" s="3" t="s">
        <v>23</v>
      </c>
      <c r="B51" s="3"/>
      <c r="D51" s="4">
        <v>55603.000000000015</v>
      </c>
      <c r="E51" s="17"/>
      <c r="F51" s="4">
        <v>64583.633500000011</v>
      </c>
      <c r="G51" s="17"/>
      <c r="H51" s="4">
        <v>47727.713500000034</v>
      </c>
      <c r="I51" s="23"/>
      <c r="J51" s="35">
        <v>30827.995900000053</v>
      </c>
      <c r="K51" s="17"/>
      <c r="L51" s="35">
        <v>0</v>
      </c>
    </row>
    <row r="52" spans="1:15" x14ac:dyDescent="0.25">
      <c r="A52" s="3" t="s">
        <v>24</v>
      </c>
      <c r="B52" s="3"/>
      <c r="D52" s="5">
        <f>D24</f>
        <v>10382.366499999993</v>
      </c>
      <c r="E52" s="11"/>
      <c r="F52" s="5">
        <f>D52+F24</f>
        <v>26499.566499999994</v>
      </c>
      <c r="G52" s="11"/>
      <c r="H52" s="5">
        <f>F52+H24</f>
        <v>43211.282499999972</v>
      </c>
      <c r="I52" s="22"/>
      <c r="J52" s="5">
        <f>H52+J24</f>
        <v>60535.349979999963</v>
      </c>
      <c r="K52" s="11"/>
      <c r="L52" s="5">
        <f>J52+L24</f>
        <v>78490.139484399973</v>
      </c>
    </row>
    <row r="53" spans="1:15" x14ac:dyDescent="0.25">
      <c r="A53" s="3" t="s">
        <v>25</v>
      </c>
      <c r="B53" s="3"/>
      <c r="D53" s="4">
        <f>SUM(D51:D52)</f>
        <v>65985.366500000004</v>
      </c>
      <c r="E53" s="17"/>
      <c r="F53" s="4">
        <f>SUM(F51:F52)</f>
        <v>91083.200000000012</v>
      </c>
      <c r="G53" s="17"/>
      <c r="H53" s="4">
        <f>SUM(H51:H52)</f>
        <v>90938.996000000014</v>
      </c>
      <c r="I53" s="4"/>
      <c r="J53" s="4">
        <f>SUM(J51:J52)</f>
        <v>91363.345880000008</v>
      </c>
      <c r="K53" s="17"/>
      <c r="L53" s="4">
        <f>SUM(L51:L52)</f>
        <v>78490.139484399973</v>
      </c>
    </row>
    <row r="54" spans="1:15" x14ac:dyDescent="0.25">
      <c r="A54" s="3"/>
      <c r="B54" s="3"/>
      <c r="D54" s="4"/>
      <c r="E54" s="17"/>
      <c r="F54" s="4"/>
      <c r="G54" s="17"/>
      <c r="H54" s="4"/>
      <c r="I54" s="23"/>
      <c r="J54" s="35"/>
      <c r="K54" s="17"/>
      <c r="L54" s="35"/>
    </row>
    <row r="55" spans="1:15" x14ac:dyDescent="0.25">
      <c r="A55" s="2" t="s">
        <v>26</v>
      </c>
      <c r="B55" s="2"/>
      <c r="D55" s="27">
        <f>SUM(D53,D49)</f>
        <v>94333</v>
      </c>
      <c r="E55" s="28"/>
      <c r="F55" s="27">
        <f>SUM(F53,F49)</f>
        <v>93740.000000000015</v>
      </c>
      <c r="G55" s="28"/>
      <c r="H55" s="27">
        <f>SUM(H53,H49)</f>
        <v>93644.000000000015</v>
      </c>
      <c r="I55" s="29"/>
      <c r="J55" s="27">
        <f>SUM(J53,J49)</f>
        <v>94118</v>
      </c>
      <c r="K55" s="28"/>
      <c r="L55" s="27">
        <f>SUM(L53,L49)</f>
        <v>79945.93322799998</v>
      </c>
    </row>
    <row r="56" spans="1:15" s="56" customFormat="1" x14ac:dyDescent="0.25">
      <c r="A56" s="79"/>
      <c r="B56" s="79"/>
      <c r="C56" s="79"/>
      <c r="D56" s="79"/>
      <c r="E56" s="80"/>
      <c r="F56" s="79"/>
      <c r="G56" s="80"/>
      <c r="H56" s="79"/>
      <c r="I56" s="55"/>
      <c r="J56" s="81"/>
      <c r="K56" s="80"/>
      <c r="M56" s="55"/>
    </row>
    <row r="57" spans="1:15" x14ac:dyDescent="0.25">
      <c r="J57" s="36"/>
      <c r="K57" s="16"/>
    </row>
    <row r="58" spans="1:15" x14ac:dyDescent="0.25">
      <c r="A58" s="63" t="s">
        <v>92</v>
      </c>
      <c r="B58"/>
      <c r="C58"/>
      <c r="J58" s="36"/>
      <c r="K58" s="16"/>
    </row>
    <row r="59" spans="1:15" x14ac:dyDescent="0.25">
      <c r="A59" s="64" t="s">
        <v>93</v>
      </c>
      <c r="C59"/>
      <c r="D59" s="4">
        <f>D17</f>
        <v>238620</v>
      </c>
      <c r="E59" s="17"/>
      <c r="F59" s="4">
        <f>F17</f>
        <v>280858.40000000002</v>
      </c>
      <c r="G59" s="17"/>
      <c r="H59" s="4">
        <f>H17</f>
        <v>329804.47519999999</v>
      </c>
      <c r="I59" s="23"/>
      <c r="J59" s="4">
        <f>J17</f>
        <v>382293.94809919997</v>
      </c>
      <c r="K59" s="17"/>
      <c r="L59" s="4">
        <f>L17</f>
        <v>442523.67622728314</v>
      </c>
    </row>
    <row r="60" spans="1:15" x14ac:dyDescent="0.25">
      <c r="A60" s="64" t="s">
        <v>94</v>
      </c>
      <c r="C60"/>
      <c r="D60" s="4">
        <f>-D19</f>
        <v>-4000</v>
      </c>
      <c r="E60" s="17"/>
      <c r="F60" s="4">
        <f>-F19</f>
        <v>-4000</v>
      </c>
      <c r="G60" s="17"/>
      <c r="H60" s="4">
        <f>-H19</f>
        <v>-4000</v>
      </c>
      <c r="I60" s="23"/>
      <c r="J60" s="4">
        <f>-J19</f>
        <v>-4000</v>
      </c>
      <c r="K60" s="17"/>
      <c r="L60" s="4">
        <f>-L19</f>
        <v>-4000</v>
      </c>
    </row>
    <row r="61" spans="1:15" x14ac:dyDescent="0.25">
      <c r="A61" s="64" t="s">
        <v>95</v>
      </c>
      <c r="C61"/>
      <c r="D61" s="4">
        <f>SUM(D59:D60)</f>
        <v>234620</v>
      </c>
      <c r="E61" s="17"/>
      <c r="F61" s="4">
        <f>SUM(F59:F60)</f>
        <v>276858.40000000002</v>
      </c>
      <c r="G61" s="17"/>
      <c r="H61" s="4">
        <f>SUM(H59:H60)</f>
        <v>325804.47519999999</v>
      </c>
      <c r="I61" s="23"/>
      <c r="J61" s="4">
        <f>SUM(J59:J60)</f>
        <v>378293.94809919997</v>
      </c>
      <c r="K61" s="17"/>
      <c r="L61" s="4">
        <f>SUM(L59:L60)</f>
        <v>438523.67622728314</v>
      </c>
      <c r="M61" s="1"/>
      <c r="N61" s="1"/>
    </row>
    <row r="62" spans="1:15" x14ac:dyDescent="0.25">
      <c r="A62" s="64" t="s">
        <v>96</v>
      </c>
      <c r="C62"/>
      <c r="D62" s="4">
        <f>-D61*$N$62</f>
        <v>-17596.5</v>
      </c>
      <c r="E62" s="17"/>
      <c r="F62" s="4">
        <f>-F61*$N$62</f>
        <v>-20764.38</v>
      </c>
      <c r="G62" s="17"/>
      <c r="H62" s="4">
        <f>-H61*$N$62</f>
        <v>-24435.335639999998</v>
      </c>
      <c r="I62" s="23"/>
      <c r="J62" s="4">
        <f>-J61*$N$62</f>
        <v>-28372.046107439997</v>
      </c>
      <c r="K62" s="17"/>
      <c r="L62" s="4">
        <f>-L61*$N$62</f>
        <v>-32889.275717046236</v>
      </c>
      <c r="N62" s="82">
        <f>P17</f>
        <v>7.4999999999999997E-2</v>
      </c>
      <c r="O62" t="s">
        <v>54</v>
      </c>
    </row>
    <row r="63" spans="1:15" x14ac:dyDescent="0.25">
      <c r="A63" s="64" t="s">
        <v>97</v>
      </c>
      <c r="C63"/>
      <c r="D63" s="4">
        <f>-D60</f>
        <v>4000</v>
      </c>
      <c r="E63" s="17"/>
      <c r="F63" s="4">
        <f>-F60</f>
        <v>4000</v>
      </c>
      <c r="G63" s="17"/>
      <c r="H63" s="4">
        <f>-H60</f>
        <v>4000</v>
      </c>
      <c r="I63" s="23"/>
      <c r="J63" s="4">
        <f>-J60</f>
        <v>4000</v>
      </c>
      <c r="K63" s="17"/>
      <c r="L63" s="4">
        <f>-L60</f>
        <v>4000</v>
      </c>
    </row>
    <row r="64" spans="1:15" x14ac:dyDescent="0.25">
      <c r="A64" s="63" t="s">
        <v>98</v>
      </c>
      <c r="B64"/>
      <c r="C64"/>
      <c r="D64" s="4">
        <f>SUM(D61:D63)</f>
        <v>221023.5</v>
      </c>
      <c r="E64" s="17"/>
      <c r="F64" s="4">
        <f>SUM(F61:F63)</f>
        <v>260094.02000000002</v>
      </c>
      <c r="G64" s="17"/>
      <c r="H64" s="4">
        <f>SUM(H61:H63)</f>
        <v>305369.13955999998</v>
      </c>
      <c r="I64" s="23"/>
      <c r="J64" s="4">
        <f>SUM(J61:J63)</f>
        <v>353921.90199175995</v>
      </c>
      <c r="K64" s="17"/>
      <c r="L64" s="4">
        <f>SUM(L61:L63)</f>
        <v>409634.40051023691</v>
      </c>
    </row>
    <row r="65" spans="1:15" x14ac:dyDescent="0.25">
      <c r="A65" s="64"/>
      <c r="B65" s="64"/>
      <c r="C65" s="64"/>
      <c r="J65" s="36"/>
      <c r="K65" s="16"/>
    </row>
    <row r="66" spans="1:15" x14ac:dyDescent="0.25">
      <c r="A66" s="63" t="s">
        <v>99</v>
      </c>
      <c r="B66"/>
      <c r="C66"/>
      <c r="J66" s="36"/>
      <c r="K66" s="16"/>
    </row>
    <row r="67" spans="1:15" x14ac:dyDescent="0.25">
      <c r="A67" s="83" t="s">
        <v>112</v>
      </c>
      <c r="B67" s="84">
        <f>-D36</f>
        <v>-20000</v>
      </c>
      <c r="C67"/>
      <c r="J67" s="36"/>
      <c r="K67" s="16"/>
    </row>
    <row r="68" spans="1:15" x14ac:dyDescent="0.25">
      <c r="A68" s="83" t="s">
        <v>116</v>
      </c>
      <c r="B68" s="84"/>
      <c r="C68"/>
      <c r="J68" s="36"/>
      <c r="K68" s="16"/>
      <c r="L68" s="84">
        <f>-B67-SUM(D19:L19)</f>
        <v>0</v>
      </c>
    </row>
    <row r="69" spans="1:15" x14ac:dyDescent="0.25">
      <c r="A69" s="83" t="s">
        <v>117</v>
      </c>
      <c r="B69" s="84"/>
      <c r="C69"/>
      <c r="J69" s="36"/>
      <c r="K69" s="16"/>
      <c r="L69" s="84">
        <f>L68</f>
        <v>0</v>
      </c>
    </row>
    <row r="70" spans="1:15" x14ac:dyDescent="0.25">
      <c r="A70" s="83" t="s">
        <v>68</v>
      </c>
      <c r="B70" s="84">
        <f>-D32</f>
        <v>-50000</v>
      </c>
      <c r="C70"/>
      <c r="J70" s="36"/>
      <c r="K70" s="16"/>
    </row>
    <row r="71" spans="1:15" x14ac:dyDescent="0.25">
      <c r="A71" s="83" t="s">
        <v>114</v>
      </c>
      <c r="B71" s="84"/>
      <c r="C71"/>
      <c r="J71" s="36"/>
      <c r="K71" s="16"/>
      <c r="L71" s="84">
        <f>-B70</f>
        <v>50000</v>
      </c>
    </row>
    <row r="72" spans="1:15" x14ac:dyDescent="0.25">
      <c r="A72" s="83" t="s">
        <v>118</v>
      </c>
      <c r="B72" s="84"/>
      <c r="C72"/>
      <c r="J72" s="36"/>
      <c r="K72" s="16"/>
      <c r="L72" s="84">
        <f>L71</f>
        <v>50000</v>
      </c>
      <c r="N72" s="82">
        <f>N62</f>
        <v>7.4999999999999997E-2</v>
      </c>
      <c r="O72" t="s">
        <v>54</v>
      </c>
    </row>
    <row r="73" spans="1:15" x14ac:dyDescent="0.25">
      <c r="A73" s="83" t="s">
        <v>115</v>
      </c>
      <c r="B73" s="84"/>
      <c r="C73"/>
      <c r="J73" s="36"/>
      <c r="K73" s="16"/>
      <c r="L73" s="84">
        <f>-L72*N72</f>
        <v>-3750</v>
      </c>
    </row>
    <row r="74" spans="1:15" x14ac:dyDescent="0.25">
      <c r="A74" s="64"/>
      <c r="B74" s="64"/>
      <c r="C74" s="64"/>
      <c r="J74" s="36"/>
      <c r="K74" s="16"/>
    </row>
    <row r="75" spans="1:15" x14ac:dyDescent="0.25">
      <c r="A75" s="63" t="s">
        <v>100</v>
      </c>
      <c r="B75"/>
      <c r="C75"/>
      <c r="J75" s="36"/>
      <c r="K75" s="16"/>
    </row>
    <row r="76" spans="1:15" x14ac:dyDescent="0.25">
      <c r="A76" s="64" t="s">
        <v>101</v>
      </c>
      <c r="C76"/>
      <c r="D76" s="4">
        <f>-(D31-B31)</f>
        <v>-5000</v>
      </c>
      <c r="E76" s="4"/>
      <c r="F76" s="4">
        <f>-(F31-D31)</f>
        <v>0</v>
      </c>
      <c r="G76" s="4"/>
      <c r="H76" s="4">
        <f>-(H31-F31)</f>
        <v>0</v>
      </c>
      <c r="I76" s="4"/>
      <c r="J76" s="4">
        <f>-(J31-H31)</f>
        <v>0</v>
      </c>
      <c r="K76" s="4"/>
      <c r="L76" s="4">
        <f>-(L31-J31)</f>
        <v>-24946</v>
      </c>
    </row>
    <row r="77" spans="1:15" x14ac:dyDescent="0.25">
      <c r="A77" s="64" t="s">
        <v>68</v>
      </c>
      <c r="C77"/>
      <c r="D77" s="4">
        <f>-(D32-B32)</f>
        <v>-50000</v>
      </c>
      <c r="E77" s="4"/>
      <c r="F77" s="4">
        <f>-(F32-D32)</f>
        <v>0</v>
      </c>
      <c r="G77" s="4"/>
      <c r="H77" s="4">
        <f>-(H32-F32)</f>
        <v>0</v>
      </c>
      <c r="I77" s="4"/>
      <c r="J77" s="4">
        <f>-(J32-H32)</f>
        <v>0</v>
      </c>
      <c r="K77" s="4"/>
      <c r="L77" s="4">
        <f>-(L32-J32)</f>
        <v>0</v>
      </c>
    </row>
    <row r="78" spans="1:15" x14ac:dyDescent="0.25">
      <c r="A78" s="64" t="s">
        <v>102</v>
      </c>
      <c r="C78"/>
      <c r="D78" s="4">
        <f>-(D33-B33)</f>
        <v>-23333.333333333332</v>
      </c>
      <c r="E78" s="4"/>
      <c r="F78" s="4">
        <f>-(F33-D33)</f>
        <v>-3406.6666666666679</v>
      </c>
      <c r="G78" s="4"/>
      <c r="H78" s="4">
        <f>-(H33-F33)</f>
        <v>-3904.0399999999972</v>
      </c>
      <c r="I78" s="4"/>
      <c r="J78" s="4">
        <f>-(J33-H33)</f>
        <v>-4474.0298399999992</v>
      </c>
      <c r="K78" s="4"/>
      <c r="L78" s="4">
        <f>-(L33-J33)</f>
        <v>35118.069839999996</v>
      </c>
    </row>
    <row r="79" spans="1:15" x14ac:dyDescent="0.25">
      <c r="A79" s="64"/>
      <c r="C79" s="64"/>
      <c r="J79" s="36"/>
      <c r="K79" s="16"/>
    </row>
    <row r="80" spans="1:15" x14ac:dyDescent="0.25">
      <c r="A80" s="64" t="s">
        <v>103</v>
      </c>
      <c r="C80"/>
      <c r="D80" s="1">
        <f>(D45+D43)-(B43+B45)</f>
        <v>6925.82</v>
      </c>
      <c r="F80" s="1">
        <f>(F45+F43)-(D43+D45)</f>
        <v>-5575.82</v>
      </c>
      <c r="H80" s="1">
        <f>(H45+H43)-(F43+F45)</f>
        <v>0</v>
      </c>
      <c r="J80" s="1">
        <f>(J45+J43)-(H43+H45)</f>
        <v>0</v>
      </c>
      <c r="K80" s="16"/>
      <c r="L80" s="1">
        <f>(L45+L43)-(J43+J45)</f>
        <v>-1350</v>
      </c>
    </row>
    <row r="81" spans="1:24" x14ac:dyDescent="0.25">
      <c r="A81" s="64" t="s">
        <v>104</v>
      </c>
      <c r="C81"/>
      <c r="D81" s="1">
        <f>-(D62-B62)</f>
        <v>17596.5</v>
      </c>
      <c r="F81" s="1">
        <f>-(F62-D62)</f>
        <v>3167.880000000001</v>
      </c>
      <c r="H81" s="1">
        <f>-(H62-F62)</f>
        <v>3670.9556399999965</v>
      </c>
      <c r="J81" s="1">
        <f>-(J62-H62)</f>
        <v>3936.7104674399998</v>
      </c>
      <c r="K81" s="16"/>
      <c r="L81" s="1">
        <f>-(L62-J62)</f>
        <v>4517.2296096062382</v>
      </c>
    </row>
    <row r="82" spans="1:24" x14ac:dyDescent="0.25">
      <c r="A82" s="64"/>
      <c r="B82" s="64"/>
      <c r="C82" s="64"/>
      <c r="J82" s="36"/>
      <c r="K82" s="16"/>
    </row>
    <row r="83" spans="1:24" x14ac:dyDescent="0.25">
      <c r="A83" s="63" t="s">
        <v>105</v>
      </c>
      <c r="B83"/>
      <c r="C83"/>
      <c r="J83" s="36"/>
      <c r="K83" s="16"/>
    </row>
    <row r="84" spans="1:24" x14ac:dyDescent="0.25">
      <c r="A84" s="64" t="s">
        <v>101</v>
      </c>
      <c r="C84"/>
      <c r="J84" s="36"/>
      <c r="K84" s="16"/>
      <c r="L84" s="84">
        <f>L31</f>
        <v>29946</v>
      </c>
    </row>
    <row r="85" spans="1:24" x14ac:dyDescent="0.25">
      <c r="A85" s="64" t="s">
        <v>102</v>
      </c>
      <c r="C85"/>
      <c r="J85" s="36"/>
      <c r="K85" s="16"/>
      <c r="L85" s="84">
        <f>L33</f>
        <v>0</v>
      </c>
    </row>
    <row r="86" spans="1:24" x14ac:dyDescent="0.25">
      <c r="A86" s="64"/>
      <c r="C86" s="64"/>
      <c r="J86" s="36"/>
      <c r="K86" s="16"/>
    </row>
    <row r="87" spans="1:24" x14ac:dyDescent="0.25">
      <c r="A87" s="64" t="s">
        <v>103</v>
      </c>
      <c r="C87"/>
      <c r="J87" s="36"/>
      <c r="K87" s="16"/>
      <c r="L87" s="84">
        <f>-(L43+L45)</f>
        <v>0</v>
      </c>
    </row>
    <row r="88" spans="1:24" x14ac:dyDescent="0.25">
      <c r="A88" s="64" t="s">
        <v>104</v>
      </c>
      <c r="C88"/>
      <c r="J88" s="36"/>
      <c r="K88" s="16"/>
      <c r="L88" s="84">
        <f>L44</f>
        <v>1455.7937436000007</v>
      </c>
    </row>
    <row r="89" spans="1:24" x14ac:dyDescent="0.25">
      <c r="A89" s="64"/>
      <c r="B89" s="64"/>
      <c r="C89" s="64"/>
      <c r="J89" s="36"/>
      <c r="K89" s="16"/>
    </row>
    <row r="90" spans="1:24" x14ac:dyDescent="0.25">
      <c r="A90" s="63" t="s">
        <v>106</v>
      </c>
      <c r="B90" s="89">
        <f>SUM(B67:B88)</f>
        <v>-70000</v>
      </c>
      <c r="C90" s="90"/>
      <c r="D90" s="89">
        <f>SUM(D67:D88)</f>
        <v>-53811.013333333336</v>
      </c>
      <c r="E90" s="91"/>
      <c r="F90" s="89">
        <f>SUM(F67:F88)</f>
        <v>-5814.6066666666666</v>
      </c>
      <c r="G90" s="91"/>
      <c r="H90" s="89">
        <f>SUM(H67:H88)</f>
        <v>-233.08436000000074</v>
      </c>
      <c r="I90" s="92"/>
      <c r="J90" s="89">
        <f>SUM(J67:J88)</f>
        <v>-537.31937255999947</v>
      </c>
      <c r="K90" s="91"/>
      <c r="L90" s="89">
        <f>SUM(L67:L88)</f>
        <v>140991.09319320621</v>
      </c>
    </row>
    <row r="91" spans="1:24" x14ac:dyDescent="0.25">
      <c r="A91" s="97" t="s">
        <v>113</v>
      </c>
      <c r="B91" s="85">
        <v>0</v>
      </c>
      <c r="C91" s="86"/>
      <c r="D91" s="86">
        <v>1</v>
      </c>
      <c r="E91" s="87"/>
      <c r="F91" s="86">
        <v>2</v>
      </c>
      <c r="G91" s="87"/>
      <c r="H91" s="86">
        <v>3</v>
      </c>
      <c r="I91" s="87"/>
      <c r="J91" s="88">
        <v>4</v>
      </c>
      <c r="K91" s="87"/>
      <c r="L91" s="86">
        <v>5</v>
      </c>
    </row>
    <row r="92" spans="1:24" x14ac:dyDescent="0.25">
      <c r="A92" s="64" t="s">
        <v>107</v>
      </c>
      <c r="B92" s="96">
        <f>PV($B$93,B91,,-B90)</f>
        <v>-70000</v>
      </c>
      <c r="C92" s="96"/>
      <c r="D92" s="96">
        <f>PV($B$93,D91,,-D90)</f>
        <v>-45947.592816512668</v>
      </c>
      <c r="E92" s="96"/>
      <c r="F92" s="96">
        <f>PV($B$93,F91,,-F90)</f>
        <v>-4239.3915361283807</v>
      </c>
      <c r="G92" s="96"/>
      <c r="H92" s="96">
        <f>PV($B$93,H91,,-H90)</f>
        <v>-145.1068495229801</v>
      </c>
      <c r="I92" s="96"/>
      <c r="J92" s="96">
        <f>PV($B$93,J91,,-J90)</f>
        <v>-285.62674586135739</v>
      </c>
      <c r="K92" s="96"/>
      <c r="L92" s="96">
        <f>PV($B$93,L91,,-L90)</f>
        <v>63995.530598180449</v>
      </c>
      <c r="S92" s="96">
        <f>B92</f>
        <v>-70000</v>
      </c>
      <c r="T92" s="96">
        <f>D92</f>
        <v>-45947.592816512668</v>
      </c>
      <c r="U92" s="96">
        <f>F92</f>
        <v>-4239.3915361283807</v>
      </c>
      <c r="V92" s="96">
        <f>H92</f>
        <v>-145.1068495229801</v>
      </c>
      <c r="W92" s="96">
        <f>J92</f>
        <v>-285.62674586135739</v>
      </c>
      <c r="X92" s="98">
        <f>L92</f>
        <v>63995.530598180449</v>
      </c>
    </row>
    <row r="93" spans="1:24" x14ac:dyDescent="0.25">
      <c r="A93" s="64" t="s">
        <v>108</v>
      </c>
      <c r="B93" s="72">
        <f>B148</f>
        <v>0.17113890053440856</v>
      </c>
      <c r="J93" s="36"/>
      <c r="K93" s="16"/>
    </row>
    <row r="94" spans="1:24" x14ac:dyDescent="0.25">
      <c r="A94" s="64"/>
      <c r="B94" s="64"/>
      <c r="J94" s="36"/>
      <c r="K94" s="16"/>
    </row>
    <row r="95" spans="1:24" x14ac:dyDescent="0.25">
      <c r="A95" s="93" t="s">
        <v>109</v>
      </c>
      <c r="B95" s="95">
        <f>SUM(B92:L92)</f>
        <v>-56622.187349844949</v>
      </c>
      <c r="J95" s="36"/>
      <c r="K95" s="16"/>
    </row>
    <row r="96" spans="1:24" x14ac:dyDescent="0.25">
      <c r="A96" s="94" t="s">
        <v>110</v>
      </c>
      <c r="B96" s="99">
        <f>IRR(S92:X92)</f>
        <v>-0.13110946639772947</v>
      </c>
      <c r="J96" s="36"/>
      <c r="K96" s="16"/>
    </row>
    <row r="97" spans="1:11" x14ac:dyDescent="0.25">
      <c r="J97" s="36"/>
      <c r="K97" s="16"/>
    </row>
    <row r="98" spans="1:11" x14ac:dyDescent="0.25">
      <c r="A98" s="63" t="s">
        <v>69</v>
      </c>
      <c r="B98" s="64"/>
      <c r="C98" s="64"/>
      <c r="D98" s="64"/>
      <c r="E98" s="64"/>
      <c r="F98" s="64"/>
      <c r="G98" s="64"/>
      <c r="J98" s="1"/>
      <c r="K98" s="16"/>
    </row>
    <row r="99" spans="1:11" x14ac:dyDescent="0.25">
      <c r="A99" s="64"/>
      <c r="B99" s="64"/>
      <c r="C99" s="64"/>
      <c r="D99" s="64"/>
      <c r="E99" s="64"/>
      <c r="F99" s="64"/>
      <c r="G99" s="64"/>
      <c r="J99" s="1"/>
      <c r="K99" s="16"/>
    </row>
    <row r="100" spans="1:11" x14ac:dyDescent="0.25">
      <c r="A100" s="64" t="s">
        <v>70</v>
      </c>
      <c r="B100" s="65">
        <v>0</v>
      </c>
      <c r="C100" s="64"/>
      <c r="D100" s="66">
        <f>B100/B102</f>
        <v>0</v>
      </c>
      <c r="E100" s="64"/>
      <c r="F100" s="66">
        <v>7.0000000000000007E-2</v>
      </c>
      <c r="J100" s="1"/>
      <c r="K100" s="16"/>
    </row>
    <row r="101" spans="1:11" x14ac:dyDescent="0.25">
      <c r="A101" s="64" t="s">
        <v>71</v>
      </c>
      <c r="B101" s="67">
        <f>D48</f>
        <v>20580</v>
      </c>
      <c r="C101" s="64"/>
      <c r="D101" s="66">
        <f>B101/B102</f>
        <v>1</v>
      </c>
      <c r="E101" s="64"/>
      <c r="F101" s="66">
        <f>M20</f>
        <v>7.9000000000000001E-2</v>
      </c>
      <c r="J101" s="1"/>
      <c r="K101" s="16"/>
    </row>
    <row r="102" spans="1:11" x14ac:dyDescent="0.25">
      <c r="A102" s="64"/>
      <c r="B102" s="65">
        <f>SUM(B100:B101)</f>
        <v>20580</v>
      </c>
      <c r="C102" s="64"/>
      <c r="D102" s="64"/>
      <c r="E102" s="64"/>
      <c r="F102" s="64"/>
    </row>
    <row r="103" spans="1:11" x14ac:dyDescent="0.25">
      <c r="A103" s="64"/>
      <c r="B103" s="64"/>
      <c r="C103" s="64"/>
      <c r="D103" s="64"/>
      <c r="E103" s="64"/>
      <c r="F103" s="64"/>
    </row>
    <row r="104" spans="1:11" x14ac:dyDescent="0.25">
      <c r="A104" s="63" t="s">
        <v>72</v>
      </c>
      <c r="B104" s="68">
        <f>(D100*F100)+(D101*F101)</f>
        <v>7.9000000000000001E-2</v>
      </c>
      <c r="C104" s="64"/>
      <c r="D104" s="64"/>
      <c r="E104" s="64"/>
      <c r="F104" s="64"/>
    </row>
    <row r="105" spans="1:11" x14ac:dyDescent="0.25">
      <c r="A105" s="64"/>
      <c r="B105" s="64"/>
      <c r="C105" s="64"/>
      <c r="D105" s="64"/>
      <c r="E105" s="64"/>
      <c r="F105" s="64"/>
      <c r="G105" s="64"/>
    </row>
    <row r="106" spans="1:11" x14ac:dyDescent="0.25">
      <c r="A106" s="63" t="s">
        <v>73</v>
      </c>
      <c r="B106" s="64"/>
      <c r="C106" s="64"/>
      <c r="D106" s="64"/>
      <c r="E106" s="64"/>
      <c r="F106" s="64"/>
      <c r="G106" s="64"/>
    </row>
    <row r="107" spans="1:11" x14ac:dyDescent="0.25">
      <c r="A107" s="64" t="s">
        <v>74</v>
      </c>
      <c r="B107" s="77">
        <v>6.2500000000000003E-3</v>
      </c>
      <c r="D107" s="64"/>
      <c r="E107" s="64"/>
      <c r="F107" s="64"/>
      <c r="G107" s="64"/>
    </row>
    <row r="108" spans="1:11" x14ac:dyDescent="0.25">
      <c r="A108" s="64" t="s">
        <v>75</v>
      </c>
      <c r="B108" s="69">
        <v>0.22800000000000001</v>
      </c>
      <c r="D108" s="64"/>
      <c r="E108" s="64"/>
      <c r="F108" s="64"/>
      <c r="G108" s="64"/>
    </row>
    <row r="109" spans="1:11" x14ac:dyDescent="0.25">
      <c r="A109" s="64" t="s">
        <v>76</v>
      </c>
      <c r="B109" s="64">
        <v>0.92</v>
      </c>
      <c r="D109" s="64"/>
      <c r="E109" s="64"/>
      <c r="F109" s="64"/>
      <c r="G109" s="64"/>
    </row>
    <row r="110" spans="1:11" x14ac:dyDescent="0.25">
      <c r="A110" s="64" t="s">
        <v>77</v>
      </c>
      <c r="B110" s="69">
        <f>B108-B107</f>
        <v>0.22175</v>
      </c>
      <c r="D110" s="64"/>
      <c r="E110" s="64"/>
      <c r="F110" s="64"/>
      <c r="G110" s="64"/>
    </row>
    <row r="111" spans="1:11" x14ac:dyDescent="0.25">
      <c r="A111" s="63" t="s">
        <v>78</v>
      </c>
      <c r="B111" s="68">
        <f>B107+B109*B110</f>
        <v>0.21026000000000003</v>
      </c>
      <c r="D111" s="64"/>
      <c r="E111" s="64"/>
      <c r="F111" s="64"/>
      <c r="G111" s="64"/>
    </row>
    <row r="112" spans="1:11" x14ac:dyDescent="0.25">
      <c r="A112" s="64"/>
      <c r="B112" s="64"/>
      <c r="C112" s="64"/>
      <c r="D112" s="64"/>
      <c r="E112" s="64"/>
      <c r="F112" s="64"/>
      <c r="G112" s="64"/>
    </row>
    <row r="113" spans="1:7" x14ac:dyDescent="0.25">
      <c r="A113" s="63" t="s">
        <v>69</v>
      </c>
      <c r="B113" s="64"/>
      <c r="C113" s="64"/>
      <c r="D113" s="64"/>
      <c r="E113" s="64"/>
      <c r="F113" s="64"/>
      <c r="G113" s="64"/>
    </row>
    <row r="114" spans="1:7" x14ac:dyDescent="0.25">
      <c r="A114" s="64" t="s">
        <v>79</v>
      </c>
      <c r="B114" s="69">
        <f>D48/D55</f>
        <v>0.21816331506471753</v>
      </c>
      <c r="D114" s="64"/>
      <c r="E114" s="64"/>
      <c r="F114" s="64"/>
      <c r="G114" s="64"/>
    </row>
    <row r="115" spans="1:7" x14ac:dyDescent="0.25">
      <c r="A115" s="64" t="s">
        <v>80</v>
      </c>
      <c r="B115" s="69">
        <f>B104</f>
        <v>7.9000000000000001E-2</v>
      </c>
      <c r="D115" s="64"/>
      <c r="E115" s="64"/>
      <c r="F115" s="64"/>
      <c r="G115" s="64"/>
    </row>
    <row r="116" spans="1:7" x14ac:dyDescent="0.25">
      <c r="A116" s="64" t="s">
        <v>54</v>
      </c>
      <c r="B116" s="69">
        <f>M23</f>
        <v>7.4999999999999997E-2</v>
      </c>
      <c r="D116" s="64"/>
      <c r="E116" s="64"/>
      <c r="F116" s="64"/>
      <c r="G116" s="64"/>
    </row>
    <row r="117" spans="1:7" x14ac:dyDescent="0.25">
      <c r="A117" s="64" t="s">
        <v>81</v>
      </c>
      <c r="B117" s="69">
        <f>1-B114</f>
        <v>0.78183668493528247</v>
      </c>
      <c r="D117" s="64"/>
      <c r="E117" s="64"/>
      <c r="F117" s="64"/>
      <c r="G117" s="64"/>
    </row>
    <row r="118" spans="1:7" x14ac:dyDescent="0.25">
      <c r="A118" s="64" t="s">
        <v>78</v>
      </c>
      <c r="B118" s="69">
        <f>B111</f>
        <v>0.21026000000000003</v>
      </c>
      <c r="D118" s="64"/>
      <c r="E118" s="64"/>
      <c r="F118" s="64"/>
      <c r="G118" s="64"/>
    </row>
    <row r="119" spans="1:7" x14ac:dyDescent="0.25">
      <c r="A119" s="70" t="s">
        <v>69</v>
      </c>
      <c r="B119" s="71">
        <f>(B114*B115*(1-B116))+(B117*B118)</f>
        <v>0.18033126562284674</v>
      </c>
      <c r="D119" s="64"/>
      <c r="E119" s="64"/>
      <c r="F119" s="64"/>
      <c r="G119" s="64"/>
    </row>
    <row r="120" spans="1:7" x14ac:dyDescent="0.25">
      <c r="A120" s="64"/>
      <c r="B120" s="64"/>
      <c r="C120" s="64"/>
      <c r="D120" s="64"/>
      <c r="E120" s="64"/>
      <c r="F120" s="64"/>
      <c r="G120" s="64"/>
    </row>
    <row r="121" spans="1:7" x14ac:dyDescent="0.25">
      <c r="A121" s="63" t="s">
        <v>82</v>
      </c>
      <c r="B121" s="64"/>
      <c r="C121" s="64"/>
      <c r="D121" s="64"/>
      <c r="E121" s="64"/>
      <c r="F121" s="64"/>
      <c r="G121" s="64"/>
    </row>
    <row r="122" spans="1:7" x14ac:dyDescent="0.25">
      <c r="A122" s="64" t="s">
        <v>83</v>
      </c>
      <c r="B122" s="72">
        <f>B114</f>
        <v>0.21816331506471753</v>
      </c>
      <c r="D122" s="64"/>
      <c r="E122" s="64"/>
      <c r="F122" s="64"/>
      <c r="G122" s="64"/>
    </row>
    <row r="123" spans="1:7" x14ac:dyDescent="0.25">
      <c r="A123" s="64" t="s">
        <v>84</v>
      </c>
      <c r="B123" s="72">
        <f>B117</f>
        <v>0.78183668493528247</v>
      </c>
      <c r="D123" s="64"/>
      <c r="E123" s="64"/>
      <c r="F123" s="64"/>
      <c r="G123" s="64"/>
    </row>
    <row r="124" spans="1:7" x14ac:dyDescent="0.25">
      <c r="A124" s="64" t="s">
        <v>85</v>
      </c>
      <c r="B124" s="64">
        <f>B109</f>
        <v>0.92</v>
      </c>
      <c r="D124" s="64"/>
      <c r="E124" s="64"/>
      <c r="F124" s="64"/>
      <c r="G124" s="64"/>
    </row>
    <row r="125" spans="1:7" x14ac:dyDescent="0.25">
      <c r="A125" s="64" t="s">
        <v>54</v>
      </c>
      <c r="B125" s="69">
        <f>B116</f>
        <v>7.4999999999999997E-2</v>
      </c>
      <c r="D125" s="64"/>
      <c r="E125" s="64"/>
      <c r="F125" s="64"/>
      <c r="G125" s="64"/>
    </row>
    <row r="126" spans="1:7" x14ac:dyDescent="0.25">
      <c r="A126" s="63" t="s">
        <v>82</v>
      </c>
      <c r="B126" s="73">
        <f>B124/(1+(1-B125)*(B122/B123))</f>
        <v>0.731254721708814</v>
      </c>
      <c r="D126" s="64"/>
      <c r="E126" s="64"/>
      <c r="F126" s="64"/>
      <c r="G126" s="64"/>
    </row>
    <row r="127" spans="1:7" x14ac:dyDescent="0.25">
      <c r="A127" s="64"/>
      <c r="B127" s="64"/>
      <c r="C127" s="64"/>
      <c r="D127" s="64"/>
      <c r="E127" s="64"/>
      <c r="F127" s="64"/>
      <c r="G127" s="64"/>
    </row>
    <row r="128" spans="1:7" x14ac:dyDescent="0.25">
      <c r="A128" s="63" t="s">
        <v>86</v>
      </c>
      <c r="B128" s="64"/>
      <c r="C128" s="64"/>
      <c r="D128" s="64"/>
      <c r="E128" s="64"/>
      <c r="F128" s="64"/>
      <c r="G128" s="64"/>
    </row>
    <row r="129" spans="1:7" x14ac:dyDescent="0.25">
      <c r="A129" s="64" t="s">
        <v>83</v>
      </c>
      <c r="B129" s="72">
        <v>0.05</v>
      </c>
      <c r="D129" s="64"/>
      <c r="E129" s="64"/>
      <c r="F129" s="64"/>
      <c r="G129" s="64"/>
    </row>
    <row r="130" spans="1:7" x14ac:dyDescent="0.25">
      <c r="A130" s="64" t="s">
        <v>84</v>
      </c>
      <c r="B130" s="72">
        <v>0.95</v>
      </c>
      <c r="D130" s="64"/>
      <c r="E130" s="64"/>
      <c r="F130" s="64"/>
      <c r="G130" s="64"/>
    </row>
    <row r="131" spans="1:7" x14ac:dyDescent="0.25">
      <c r="A131" s="64" t="s">
        <v>82</v>
      </c>
      <c r="B131" s="74">
        <f>B126</f>
        <v>0.731254721708814</v>
      </c>
      <c r="D131" s="64"/>
      <c r="E131" s="64"/>
      <c r="F131" s="64"/>
      <c r="G131" s="64"/>
    </row>
    <row r="132" spans="1:7" x14ac:dyDescent="0.25">
      <c r="A132" s="64" t="s">
        <v>54</v>
      </c>
      <c r="B132" s="69">
        <f>B125</f>
        <v>7.4999999999999997E-2</v>
      </c>
      <c r="D132" s="64"/>
      <c r="E132" s="64"/>
      <c r="F132" s="64"/>
      <c r="G132" s="64"/>
    </row>
    <row r="133" spans="1:7" x14ac:dyDescent="0.25">
      <c r="A133" s="63" t="s">
        <v>86</v>
      </c>
      <c r="B133" s="75">
        <f>B131*(1+(1-B132)*(B129/B130))</f>
        <v>0.76685528052884844</v>
      </c>
      <c r="D133" s="64"/>
      <c r="E133" s="64"/>
      <c r="F133" s="64"/>
      <c r="G133" s="64"/>
    </row>
    <row r="134" spans="1:7" x14ac:dyDescent="0.25">
      <c r="A134" s="64"/>
      <c r="B134" s="64"/>
      <c r="C134" s="64"/>
      <c r="D134" s="64"/>
      <c r="E134" s="64"/>
      <c r="F134" s="64"/>
      <c r="G134" s="64"/>
    </row>
    <row r="135" spans="1:7" x14ac:dyDescent="0.25">
      <c r="A135" s="63" t="s">
        <v>87</v>
      </c>
      <c r="B135" s="64"/>
      <c r="C135" s="64"/>
      <c r="D135" s="64"/>
      <c r="E135" s="64"/>
      <c r="F135" s="64"/>
      <c r="G135" s="64"/>
    </row>
    <row r="136" spans="1:7" x14ac:dyDescent="0.25">
      <c r="A136" s="64" t="s">
        <v>74</v>
      </c>
      <c r="B136" s="69">
        <f>B107</f>
        <v>6.2500000000000003E-3</v>
      </c>
      <c r="D136" s="64"/>
      <c r="E136" s="64"/>
      <c r="F136" s="64"/>
      <c r="G136" s="64"/>
    </row>
    <row r="137" spans="1:7" x14ac:dyDescent="0.25">
      <c r="A137" s="64" t="s">
        <v>75</v>
      </c>
      <c r="B137" s="69">
        <f>B108</f>
        <v>0.22800000000000001</v>
      </c>
      <c r="D137" s="64"/>
      <c r="E137" s="64"/>
      <c r="F137" s="64"/>
      <c r="G137" s="64"/>
    </row>
    <row r="138" spans="1:7" x14ac:dyDescent="0.25">
      <c r="A138" s="64" t="s">
        <v>76</v>
      </c>
      <c r="B138" s="76">
        <f>B133</f>
        <v>0.76685528052884844</v>
      </c>
      <c r="D138" s="64"/>
      <c r="E138" s="64"/>
      <c r="F138" s="64"/>
      <c r="G138" s="64"/>
    </row>
    <row r="139" spans="1:7" x14ac:dyDescent="0.25">
      <c r="A139" s="64" t="s">
        <v>77</v>
      </c>
      <c r="B139" s="69">
        <f>B137-B136</f>
        <v>0.22175</v>
      </c>
      <c r="D139" s="64"/>
      <c r="E139" s="64"/>
      <c r="F139" s="64"/>
      <c r="G139" s="64"/>
    </row>
    <row r="140" spans="1:7" x14ac:dyDescent="0.25">
      <c r="A140" s="64" t="s">
        <v>78</v>
      </c>
      <c r="B140" s="69">
        <f>B136+B138*B139</f>
        <v>0.17630015845727215</v>
      </c>
      <c r="D140" s="64"/>
      <c r="E140" s="64"/>
      <c r="F140" s="64"/>
      <c r="G140" s="64"/>
    </row>
    <row r="141" spans="1:7" x14ac:dyDescent="0.25">
      <c r="A141" s="64"/>
      <c r="B141" s="64"/>
      <c r="C141" s="64"/>
      <c r="D141" s="64"/>
      <c r="E141" s="64"/>
      <c r="F141" s="64"/>
      <c r="G141" s="64"/>
    </row>
    <row r="142" spans="1:7" x14ac:dyDescent="0.25">
      <c r="A142" s="63" t="s">
        <v>88</v>
      </c>
      <c r="B142" s="64"/>
      <c r="C142" s="64"/>
      <c r="D142" s="64"/>
      <c r="E142" s="64"/>
      <c r="F142" s="64"/>
      <c r="G142" s="64"/>
    </row>
    <row r="143" spans="1:7" x14ac:dyDescent="0.25">
      <c r="A143" s="64" t="s">
        <v>79</v>
      </c>
      <c r="B143" s="69">
        <v>0.05</v>
      </c>
      <c r="D143" s="64"/>
      <c r="E143" s="64"/>
      <c r="F143" s="64"/>
      <c r="G143" s="64"/>
    </row>
    <row r="144" spans="1:7" x14ac:dyDescent="0.25">
      <c r="A144" s="64" t="s">
        <v>80</v>
      </c>
      <c r="B144" s="69">
        <f>B104</f>
        <v>7.9000000000000001E-2</v>
      </c>
      <c r="D144" s="64"/>
      <c r="E144" s="64"/>
      <c r="F144" s="64"/>
      <c r="G144" s="64"/>
    </row>
    <row r="145" spans="1:7" x14ac:dyDescent="0.25">
      <c r="A145" s="64" t="s">
        <v>54</v>
      </c>
      <c r="B145" s="69">
        <f>B132</f>
        <v>7.4999999999999997E-2</v>
      </c>
      <c r="D145" s="64"/>
      <c r="E145" s="64"/>
      <c r="F145" s="64"/>
      <c r="G145" s="64"/>
    </row>
    <row r="146" spans="1:7" x14ac:dyDescent="0.25">
      <c r="A146" s="64" t="s">
        <v>81</v>
      </c>
      <c r="B146" s="69">
        <v>0.95</v>
      </c>
      <c r="D146" s="64"/>
      <c r="E146" s="64"/>
      <c r="F146" s="64"/>
      <c r="G146" s="64"/>
    </row>
    <row r="147" spans="1:7" x14ac:dyDescent="0.25">
      <c r="A147" s="64" t="s">
        <v>78</v>
      </c>
      <c r="B147" s="69">
        <f>B140</f>
        <v>0.17630015845727215</v>
      </c>
      <c r="D147" s="64"/>
      <c r="E147" s="64"/>
      <c r="F147" s="64"/>
      <c r="G147" s="64"/>
    </row>
    <row r="148" spans="1:7" x14ac:dyDescent="0.25">
      <c r="A148" s="70" t="s">
        <v>88</v>
      </c>
      <c r="B148" s="71">
        <f>(B143*B144*(1-B145))+(B146*B147)</f>
        <v>0.17113890053440856</v>
      </c>
      <c r="D148" s="64"/>
      <c r="E148" s="64"/>
      <c r="F148" s="64"/>
      <c r="G148" s="64"/>
    </row>
    <row r="149" spans="1:7" x14ac:dyDescent="0.25">
      <c r="A149" s="64"/>
      <c r="B149" s="64"/>
      <c r="C149" s="64"/>
      <c r="D149" s="64"/>
      <c r="E149" s="64"/>
      <c r="F149" s="64"/>
      <c r="G149" s="64"/>
    </row>
    <row r="150" spans="1:7" x14ac:dyDescent="0.25">
      <c r="A150" s="64"/>
      <c r="B150" s="64"/>
      <c r="C150" s="64"/>
      <c r="D150" s="64"/>
      <c r="E150" s="64"/>
      <c r="F150" s="64"/>
      <c r="G150" s="64"/>
    </row>
  </sheetData>
  <hyperlinks>
    <hyperlink ref="A1" r:id="rId1"/>
  </hyperlinks>
  <pageMargins left="0.7" right="0.7" top="0.75" bottom="0.75" header="0.3" footer="0.3"/>
  <pageSetup scale="7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D19" sqref="D19"/>
    </sheetView>
  </sheetViews>
  <sheetFormatPr defaultRowHeight="15" x14ac:dyDescent="0.25"/>
  <cols>
    <col min="2" max="2" width="17.7109375" bestFit="1" customWidth="1"/>
    <col min="3" max="3" width="16" bestFit="1" customWidth="1"/>
  </cols>
  <sheetData>
    <row r="2" spans="2:5" x14ac:dyDescent="0.25">
      <c r="B2" t="s">
        <v>31</v>
      </c>
    </row>
    <row r="3" spans="2:5" x14ac:dyDescent="0.25">
      <c r="C3" t="s">
        <v>32</v>
      </c>
      <c r="D3">
        <v>10</v>
      </c>
    </row>
    <row r="4" spans="2:5" x14ac:dyDescent="0.25">
      <c r="C4" t="s">
        <v>33</v>
      </c>
      <c r="D4">
        <f>E4*D12</f>
        <v>1.1000000000000001</v>
      </c>
      <c r="E4" s="30">
        <v>0.1</v>
      </c>
    </row>
    <row r="6" spans="2:5" x14ac:dyDescent="0.25">
      <c r="C6" t="s">
        <v>11</v>
      </c>
      <c r="D6">
        <f>D3-D4</f>
        <v>8.9</v>
      </c>
    </row>
    <row r="8" spans="2:5" x14ac:dyDescent="0.25">
      <c r="B8" t="s">
        <v>34</v>
      </c>
    </row>
    <row r="9" spans="2:5" x14ac:dyDescent="0.25">
      <c r="B9" t="s">
        <v>1</v>
      </c>
      <c r="C9" t="s">
        <v>3</v>
      </c>
      <c r="D9">
        <v>20</v>
      </c>
    </row>
    <row r="11" spans="2:5" x14ac:dyDescent="0.25">
      <c r="B11" t="s">
        <v>37</v>
      </c>
      <c r="D11">
        <f>D9</f>
        <v>20</v>
      </c>
    </row>
    <row r="12" spans="2:5" x14ac:dyDescent="0.25">
      <c r="B12" t="s">
        <v>38</v>
      </c>
      <c r="C12" t="s">
        <v>35</v>
      </c>
      <c r="D12">
        <v>11</v>
      </c>
    </row>
    <row r="15" spans="2:5" x14ac:dyDescent="0.25">
      <c r="C15" t="s">
        <v>36</v>
      </c>
      <c r="D15">
        <f>D6</f>
        <v>8.9</v>
      </c>
    </row>
    <row r="16" spans="2:5" x14ac:dyDescent="0.25">
      <c r="B16" t="s">
        <v>39</v>
      </c>
      <c r="D16">
        <f>D15+D12</f>
        <v>19.899999999999999</v>
      </c>
    </row>
    <row r="19" spans="2:4" x14ac:dyDescent="0.25">
      <c r="B19" t="s">
        <v>30</v>
      </c>
      <c r="D19">
        <f>D11-D16</f>
        <v>0.10000000000000142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2013-12-18T20:06:43Z</dcterms:created>
  <dcterms:modified xsi:type="dcterms:W3CDTF">2019-05-17T20:37:11Z</dcterms:modified>
</cp:coreProperties>
</file>