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240" yWindow="210" windowWidth="19320" windowHeight="7935" activeTab="1"/>
  </bookViews>
  <sheets>
    <sheet name="Assumptions" sheetId="2" r:id="rId1"/>
    <sheet name="Financial Statements" sheetId="1" r:id="rId2"/>
    <sheet name="Mortgage Payments" sheetId="3" state="hidden" r:id="rId3"/>
    <sheet name="WACC" sheetId="4" r:id="rId4"/>
    <sheet name="IRR" sheetId="5" r:id="rId5"/>
  </sheets>
  <definedNames>
    <definedName name="solver_adj" localSheetId="4" hidden="1">IRR!#REF!</definedName>
    <definedName name="solver_adj" localSheetId="3" hidden="1">WACC!$E$16:$E$17</definedName>
    <definedName name="solver_cvg" localSheetId="4" hidden="1">0.0001</definedName>
    <definedName name="solver_cvg" localSheetId="3" hidden="1">0.0001</definedName>
    <definedName name="solver_drv" localSheetId="4" hidden="1">2</definedName>
    <definedName name="solver_drv" localSheetId="3" hidden="1">2</definedName>
    <definedName name="solver_eng" localSheetId="4" hidden="1">1</definedName>
    <definedName name="solver_eng" localSheetId="3" hidden="1">1</definedName>
    <definedName name="solver_est" localSheetId="4" hidden="1">1</definedName>
    <definedName name="solver_est" localSheetId="3" hidden="1">1</definedName>
    <definedName name="solver_itr" localSheetId="4" hidden="1">2147483647</definedName>
    <definedName name="solver_itr" localSheetId="3" hidden="1">2147483647</definedName>
    <definedName name="solver_lhs1" localSheetId="4" hidden="1">IRR!#REF!</definedName>
    <definedName name="solver_lhs1" localSheetId="3" hidden="1">WACC!$E$16:$E$17</definedName>
    <definedName name="solver_lhs2" localSheetId="4" hidden="1">IRR!#REF!</definedName>
    <definedName name="solver_lhs2" localSheetId="3" hidden="1">WACC!$E$16:$E$17</definedName>
    <definedName name="solver_lhs3" localSheetId="4" hidden="1">IRR!#REF!</definedName>
    <definedName name="solver_lhs3" localSheetId="3" hidden="1">WACC!$E$18</definedName>
    <definedName name="solver_mip" localSheetId="4" hidden="1">2147483647</definedName>
    <definedName name="solver_mip" localSheetId="3" hidden="1">2147483647</definedName>
    <definedName name="solver_mni" localSheetId="4" hidden="1">30</definedName>
    <definedName name="solver_mni" localSheetId="3" hidden="1">30</definedName>
    <definedName name="solver_mrt" localSheetId="4" hidden="1">0.075</definedName>
    <definedName name="solver_mrt" localSheetId="3" hidden="1">0.075</definedName>
    <definedName name="solver_msl" localSheetId="4" hidden="1">2</definedName>
    <definedName name="solver_msl" localSheetId="3" hidden="1">2</definedName>
    <definedName name="solver_neg" localSheetId="4" hidden="1">1</definedName>
    <definedName name="solver_neg" localSheetId="3" hidden="1">1</definedName>
    <definedName name="solver_nod" localSheetId="4" hidden="1">2147483647</definedName>
    <definedName name="solver_nod" localSheetId="3" hidden="1">2147483647</definedName>
    <definedName name="solver_num" localSheetId="4" hidden="1">3</definedName>
    <definedName name="solver_num" localSheetId="3" hidden="1">3</definedName>
    <definedName name="solver_nwt" localSheetId="4" hidden="1">1</definedName>
    <definedName name="solver_nwt" localSheetId="3" hidden="1">1</definedName>
    <definedName name="solver_opt" localSheetId="4" hidden="1">IRR!#REF!</definedName>
    <definedName name="solver_opt" localSheetId="3" hidden="1">WACC!$E$10</definedName>
    <definedName name="solver_pre" localSheetId="4" hidden="1">0.000001</definedName>
    <definedName name="solver_pre" localSheetId="3" hidden="1">0.000001</definedName>
    <definedName name="solver_rbv" localSheetId="4" hidden="1">2</definedName>
    <definedName name="solver_rbv" localSheetId="3" hidden="1">2</definedName>
    <definedName name="solver_rel1" localSheetId="4" hidden="1">1</definedName>
    <definedName name="solver_rel1" localSheetId="3" hidden="1">1</definedName>
    <definedName name="solver_rel2" localSheetId="4" hidden="1">3</definedName>
    <definedName name="solver_rel2" localSheetId="3" hidden="1">3</definedName>
    <definedName name="solver_rel3" localSheetId="4" hidden="1">2</definedName>
    <definedName name="solver_rel3" localSheetId="3" hidden="1">2</definedName>
    <definedName name="solver_rhs1" localSheetId="4" hidden="1">100%</definedName>
    <definedName name="solver_rhs1" localSheetId="3" hidden="1">99%</definedName>
    <definedName name="solver_rhs2" localSheetId="4" hidden="1">0%</definedName>
    <definedName name="solver_rhs2" localSheetId="3" hidden="1">1%</definedName>
    <definedName name="solver_rhs3" localSheetId="4" hidden="1">100%</definedName>
    <definedName name="solver_rhs3" localSheetId="3" hidden="1">100%</definedName>
    <definedName name="solver_rlx" localSheetId="4" hidden="1">2</definedName>
    <definedName name="solver_rlx" localSheetId="3" hidden="1">2</definedName>
    <definedName name="solver_rsd" localSheetId="4" hidden="1">0</definedName>
    <definedName name="solver_rsd" localSheetId="3" hidden="1">0</definedName>
    <definedName name="solver_scl" localSheetId="4" hidden="1">2</definedName>
    <definedName name="solver_scl" localSheetId="3" hidden="1">2</definedName>
    <definedName name="solver_sho" localSheetId="4" hidden="1">2</definedName>
    <definedName name="solver_sho" localSheetId="3" hidden="1">2</definedName>
    <definedName name="solver_ssz" localSheetId="4" hidden="1">100</definedName>
    <definedName name="solver_ssz" localSheetId="3" hidden="1">100</definedName>
    <definedName name="solver_tim" localSheetId="4" hidden="1">2147483647</definedName>
    <definedName name="solver_tim" localSheetId="3" hidden="1">2147483647</definedName>
    <definedName name="solver_tol" localSheetId="4" hidden="1">0.01</definedName>
    <definedName name="solver_tol" localSheetId="3" hidden="1">0.01</definedName>
    <definedName name="solver_typ" localSheetId="4" hidden="1">3</definedName>
    <definedName name="solver_typ" localSheetId="3" hidden="1">3</definedName>
    <definedName name="solver_val" localSheetId="4" hidden="1">13.9</definedName>
    <definedName name="solver_val" localSheetId="3" hidden="1">13.9</definedName>
    <definedName name="solver_ver" localSheetId="4" hidden="1">3</definedName>
    <definedName name="solver_ver" localSheetId="3" hidden="1">3</definedName>
  </definedNames>
  <calcPr calcId="145621"/>
</workbook>
</file>

<file path=xl/calcChain.xml><?xml version="1.0" encoding="utf-8"?>
<calcChain xmlns="http://schemas.openxmlformats.org/spreadsheetml/2006/main">
  <c r="AB28" i="1" l="1"/>
  <c r="Z28" i="1"/>
  <c r="X28" i="1"/>
  <c r="V28" i="1"/>
  <c r="T28" i="1"/>
  <c r="R28" i="1"/>
  <c r="P28" i="1"/>
  <c r="N28" i="1"/>
  <c r="L28" i="1"/>
  <c r="J28" i="1"/>
  <c r="AD27" i="5"/>
  <c r="R27" i="5"/>
  <c r="D19" i="2" l="1"/>
  <c r="D4" i="2" l="1"/>
  <c r="F32" i="5" l="1"/>
  <c r="H32" i="5" s="1"/>
  <c r="J32" i="5" s="1"/>
  <c r="L32" i="5" s="1"/>
  <c r="N32" i="5" s="1"/>
  <c r="P32" i="5" s="1"/>
  <c r="R32" i="5" s="1"/>
  <c r="T32" i="5" s="1"/>
  <c r="V32" i="5" s="1"/>
  <c r="X32" i="5" s="1"/>
  <c r="Z32" i="5" s="1"/>
  <c r="AB32" i="5" s="1"/>
  <c r="AD32" i="5" s="1"/>
  <c r="AF32" i="5" s="1"/>
  <c r="AD14" i="1"/>
  <c r="AF10" i="5" s="1"/>
  <c r="AB14" i="1"/>
  <c r="AD10" i="5" s="1"/>
  <c r="Z14" i="1"/>
  <c r="AB10" i="5" s="1"/>
  <c r="X14" i="1"/>
  <c r="Z10" i="5" s="1"/>
  <c r="V14" i="1"/>
  <c r="X10" i="5" s="1"/>
  <c r="T14" i="1"/>
  <c r="R14" i="1"/>
  <c r="T10" i="5" s="1"/>
  <c r="P14" i="1"/>
  <c r="R10" i="5" s="1"/>
  <c r="N14" i="1"/>
  <c r="P10" i="5" s="1"/>
  <c r="L14" i="1"/>
  <c r="N10" i="5" s="1"/>
  <c r="J14" i="1"/>
  <c r="H14" i="1"/>
  <c r="J10" i="5" s="1"/>
  <c r="F14" i="1"/>
  <c r="H10" i="5" s="1"/>
  <c r="D14" i="1"/>
  <c r="F10" i="5" s="1"/>
  <c r="AF29" i="5"/>
  <c r="V10" i="5"/>
  <c r="L10" i="5"/>
  <c r="D27" i="5"/>
  <c r="D26" i="5"/>
  <c r="F16" i="5"/>
  <c r="AF22" i="5" s="1"/>
  <c r="D33" i="5" l="1"/>
  <c r="AF28" i="5"/>
  <c r="AF30" i="5" s="1"/>
  <c r="AD50" i="1"/>
  <c r="AB50" i="1"/>
  <c r="Z50" i="1"/>
  <c r="X50" i="1"/>
  <c r="V50" i="1"/>
  <c r="T50" i="1"/>
  <c r="R50" i="1"/>
  <c r="P50" i="1"/>
  <c r="N50" i="1"/>
  <c r="L50" i="1"/>
  <c r="J50" i="1"/>
  <c r="H50" i="1"/>
  <c r="F50" i="1"/>
  <c r="D50" i="1"/>
  <c r="AD32" i="1"/>
  <c r="AB32" i="1"/>
  <c r="Z32" i="1"/>
  <c r="X32" i="1"/>
  <c r="V32" i="1"/>
  <c r="T32" i="1"/>
  <c r="R32" i="1"/>
  <c r="P32" i="1"/>
  <c r="N32" i="1"/>
  <c r="L32" i="1"/>
  <c r="J32" i="1"/>
  <c r="H32" i="1"/>
  <c r="F32" i="1"/>
  <c r="D32" i="1"/>
  <c r="B6" i="3"/>
  <c r="E5" i="3"/>
  <c r="C6" i="3" s="1"/>
  <c r="D18" i="1" s="1"/>
  <c r="AD15" i="1"/>
  <c r="AB15" i="1"/>
  <c r="Z15" i="1"/>
  <c r="X15" i="1"/>
  <c r="V15" i="1"/>
  <c r="T15" i="1"/>
  <c r="R15" i="1"/>
  <c r="P15" i="1"/>
  <c r="N15" i="1"/>
  <c r="L15" i="1"/>
  <c r="J15" i="1"/>
  <c r="H15" i="1"/>
  <c r="F15" i="1"/>
  <c r="D15" i="1"/>
  <c r="AD12" i="1"/>
  <c r="AB12" i="1"/>
  <c r="Z12" i="1"/>
  <c r="X12" i="1"/>
  <c r="V12" i="1"/>
  <c r="T12" i="1"/>
  <c r="R12" i="1"/>
  <c r="P12" i="1"/>
  <c r="N12" i="1"/>
  <c r="L12" i="1"/>
  <c r="J12" i="1"/>
  <c r="H12" i="1"/>
  <c r="F12" i="1"/>
  <c r="D12" i="1"/>
  <c r="AD10" i="1"/>
  <c r="AB10" i="1"/>
  <c r="Z10" i="1"/>
  <c r="X10" i="1"/>
  <c r="V10" i="1"/>
  <c r="T10" i="1"/>
  <c r="R10" i="1"/>
  <c r="P10" i="1"/>
  <c r="N10" i="1"/>
  <c r="L10" i="1"/>
  <c r="J10" i="1"/>
  <c r="H10" i="1"/>
  <c r="F10" i="1"/>
  <c r="D10" i="1"/>
  <c r="D6" i="1"/>
  <c r="D7" i="1" s="1"/>
  <c r="D40" i="1" s="1"/>
  <c r="F14" i="5" s="1"/>
  <c r="D13" i="1" l="1"/>
  <c r="D29" i="1"/>
  <c r="F15" i="5" s="1"/>
  <c r="D6" i="3"/>
  <c r="E6" i="3" s="1"/>
  <c r="D11" i="1"/>
  <c r="F6" i="1"/>
  <c r="F13" i="1" s="1"/>
  <c r="D8" i="1"/>
  <c r="D33" i="1"/>
  <c r="F33" i="1" l="1"/>
  <c r="H33" i="1" s="1"/>
  <c r="J33" i="1" s="1"/>
  <c r="L33" i="1" s="1"/>
  <c r="N33" i="1" s="1"/>
  <c r="P33" i="1" s="1"/>
  <c r="R33" i="1" s="1"/>
  <c r="T33" i="1" s="1"/>
  <c r="V33" i="1" s="1"/>
  <c r="X33" i="1" s="1"/>
  <c r="Z33" i="1" s="1"/>
  <c r="B7" i="3"/>
  <c r="D45" i="1"/>
  <c r="Z34" i="1"/>
  <c r="J34" i="1"/>
  <c r="C7" i="3"/>
  <c r="F18" i="1" s="1"/>
  <c r="H6" i="1"/>
  <c r="H13" i="1" s="1"/>
  <c r="F11" i="1"/>
  <c r="D34" i="1"/>
  <c r="H34" i="1"/>
  <c r="F34" i="1"/>
  <c r="F7" i="1"/>
  <c r="AB33" i="1" l="1"/>
  <c r="AB34" i="1" s="1"/>
  <c r="F8" i="1"/>
  <c r="F40" i="1"/>
  <c r="H14" i="5" s="1"/>
  <c r="F29" i="1"/>
  <c r="H15" i="5" s="1"/>
  <c r="L34" i="1"/>
  <c r="D7" i="3"/>
  <c r="E7" i="3" s="1"/>
  <c r="F45" i="1" s="1"/>
  <c r="H7" i="1"/>
  <c r="J6" i="1"/>
  <c r="J13" i="1" s="1"/>
  <c r="H11" i="1"/>
  <c r="H16" i="1" s="1"/>
  <c r="F16" i="1"/>
  <c r="D16" i="1"/>
  <c r="D17" i="1" s="1"/>
  <c r="AD33" i="1" l="1"/>
  <c r="AD34" i="1" s="1"/>
  <c r="F30" i="1"/>
  <c r="F36" i="1" s="1"/>
  <c r="D19" i="1"/>
  <c r="D20" i="1" s="1"/>
  <c r="F7" i="5"/>
  <c r="F8" i="5" s="1"/>
  <c r="F9" i="5" s="1"/>
  <c r="F11" i="5" s="1"/>
  <c r="F17" i="1"/>
  <c r="H7" i="5" s="1"/>
  <c r="H40" i="1"/>
  <c r="J14" i="5" s="1"/>
  <c r="H29" i="1"/>
  <c r="H8" i="1"/>
  <c r="H17" i="1" s="1"/>
  <c r="J7" i="5" s="1"/>
  <c r="N34" i="1"/>
  <c r="B8" i="3"/>
  <c r="C8" i="3"/>
  <c r="H18" i="1" s="1"/>
  <c r="J11" i="1"/>
  <c r="L6" i="1"/>
  <c r="L13" i="1" s="1"/>
  <c r="J7" i="1"/>
  <c r="H30" i="1" l="1"/>
  <c r="H36" i="1" s="1"/>
  <c r="J15" i="5"/>
  <c r="J8" i="5"/>
  <c r="J9" i="5" s="1"/>
  <c r="J11" i="5" s="1"/>
  <c r="H8" i="5"/>
  <c r="H9" i="5" s="1"/>
  <c r="H11" i="5" s="1"/>
  <c r="D21" i="1"/>
  <c r="F17" i="5"/>
  <c r="F33" i="5" s="1"/>
  <c r="D41" i="1"/>
  <c r="D42" i="1" s="1"/>
  <c r="H19" i="1"/>
  <c r="H20" i="1" s="1"/>
  <c r="J8" i="1"/>
  <c r="J40" i="1"/>
  <c r="L14" i="5" s="1"/>
  <c r="J29" i="1"/>
  <c r="P34" i="1"/>
  <c r="D8" i="3"/>
  <c r="E8" i="3" s="1"/>
  <c r="H45" i="1" s="1"/>
  <c r="J16" i="1"/>
  <c r="L11" i="1"/>
  <c r="L16" i="1" s="1"/>
  <c r="L7" i="1"/>
  <c r="N6" i="1"/>
  <c r="N13" i="1" s="1"/>
  <c r="J30" i="1" l="1"/>
  <c r="J36" i="1" s="1"/>
  <c r="L15" i="5"/>
  <c r="J17" i="1"/>
  <c r="L7" i="5" s="1"/>
  <c r="L8" i="5" s="1"/>
  <c r="L9" i="5" s="1"/>
  <c r="L11" i="5" s="1"/>
  <c r="H41" i="1"/>
  <c r="H42" i="1" s="1"/>
  <c r="H59" i="1" s="1"/>
  <c r="D51" i="1"/>
  <c r="D62" i="1" s="1"/>
  <c r="D47" i="1"/>
  <c r="H21" i="1"/>
  <c r="H61" i="1" s="1"/>
  <c r="L8" i="1"/>
  <c r="L17" i="1" s="1"/>
  <c r="N7" i="5" s="1"/>
  <c r="L40" i="1"/>
  <c r="N14" i="5" s="1"/>
  <c r="L29" i="1"/>
  <c r="R34" i="1"/>
  <c r="B9" i="3"/>
  <c r="C9" i="3"/>
  <c r="J18" i="1" s="1"/>
  <c r="N11" i="1"/>
  <c r="N16" i="1" s="1"/>
  <c r="P6" i="1"/>
  <c r="P13" i="1" s="1"/>
  <c r="N7" i="1"/>
  <c r="E5" i="4" l="1"/>
  <c r="L30" i="1"/>
  <c r="L36" i="1" s="1"/>
  <c r="N15" i="5"/>
  <c r="N8" i="5"/>
  <c r="N9" i="5" s="1"/>
  <c r="N11" i="5" s="1"/>
  <c r="D53" i="1"/>
  <c r="D60" i="1"/>
  <c r="N8" i="1"/>
  <c r="N17" i="1" s="1"/>
  <c r="P7" i="5" s="1"/>
  <c r="N40" i="1"/>
  <c r="P14" i="5" s="1"/>
  <c r="N29" i="1"/>
  <c r="T34" i="1"/>
  <c r="D9" i="3"/>
  <c r="E9" i="3" s="1"/>
  <c r="J19" i="1"/>
  <c r="P11" i="1"/>
  <c r="P16" i="1" s="1"/>
  <c r="R6" i="1"/>
  <c r="R13" i="1" s="1"/>
  <c r="P7" i="1"/>
  <c r="E6" i="4" l="1"/>
  <c r="E8" i="4" s="1"/>
  <c r="N30" i="1"/>
  <c r="N36" i="1" s="1"/>
  <c r="P15" i="5"/>
  <c r="P8" i="5"/>
  <c r="P9" i="5" s="1"/>
  <c r="P11" i="5" s="1"/>
  <c r="C10" i="3"/>
  <c r="L18" i="1" s="1"/>
  <c r="J45" i="1"/>
  <c r="P8" i="1"/>
  <c r="P17" i="1" s="1"/>
  <c r="R7" i="5" s="1"/>
  <c r="P40" i="1"/>
  <c r="R14" i="5" s="1"/>
  <c r="P29" i="1"/>
  <c r="J20" i="1"/>
  <c r="V34" i="1"/>
  <c r="B10" i="3"/>
  <c r="R11" i="1"/>
  <c r="R16" i="1" s="1"/>
  <c r="T6" i="1"/>
  <c r="T13" i="1" s="1"/>
  <c r="R7" i="1"/>
  <c r="D10" i="3" l="1"/>
  <c r="E10" i="3" s="1"/>
  <c r="L45" i="1" s="1"/>
  <c r="P30" i="1"/>
  <c r="P36" i="1" s="1"/>
  <c r="R15" i="5"/>
  <c r="R8" i="5"/>
  <c r="R9" i="5" s="1"/>
  <c r="R11" i="5" s="1"/>
  <c r="J41" i="1"/>
  <c r="J42" i="1" s="1"/>
  <c r="J59" i="1" s="1"/>
  <c r="L17" i="5"/>
  <c r="L33" i="5" s="1"/>
  <c r="L19" i="1"/>
  <c r="J21" i="1"/>
  <c r="J61" i="1" s="1"/>
  <c r="R8" i="1"/>
  <c r="R17" i="1" s="1"/>
  <c r="T7" i="5" s="1"/>
  <c r="R40" i="1"/>
  <c r="T14" i="5" s="1"/>
  <c r="R29" i="1"/>
  <c r="X34" i="1"/>
  <c r="B11" i="3"/>
  <c r="T11" i="1"/>
  <c r="T16" i="1" s="1"/>
  <c r="T7" i="1"/>
  <c r="V6" i="1"/>
  <c r="V13" i="1" s="1"/>
  <c r="C11" i="3" l="1"/>
  <c r="N18" i="1" s="1"/>
  <c r="N19" i="1" s="1"/>
  <c r="N20" i="1" s="1"/>
  <c r="R30" i="1"/>
  <c r="R36" i="1" s="1"/>
  <c r="T15" i="5"/>
  <c r="T8" i="5"/>
  <c r="T9" i="5" s="1"/>
  <c r="T11" i="5" s="1"/>
  <c r="L20" i="1"/>
  <c r="T8" i="1"/>
  <c r="T17" i="1" s="1"/>
  <c r="V7" i="5" s="1"/>
  <c r="T40" i="1"/>
  <c r="V14" i="5" s="1"/>
  <c r="T29" i="1"/>
  <c r="V11" i="1"/>
  <c r="V16" i="1" s="1"/>
  <c r="X6" i="1"/>
  <c r="X13" i="1" s="1"/>
  <c r="V7" i="1"/>
  <c r="D11" i="3" l="1"/>
  <c r="E11" i="3" s="1"/>
  <c r="N45" i="1" s="1"/>
  <c r="T30" i="1"/>
  <c r="T36" i="1" s="1"/>
  <c r="V15" i="5"/>
  <c r="V8" i="5"/>
  <c r="V9" i="5" s="1"/>
  <c r="V11" i="5" s="1"/>
  <c r="N41" i="1"/>
  <c r="N42" i="1" s="1"/>
  <c r="N59" i="1" s="1"/>
  <c r="L41" i="1"/>
  <c r="L42" i="1" s="1"/>
  <c r="P17" i="5"/>
  <c r="P33" i="5" s="1"/>
  <c r="N17" i="5"/>
  <c r="N33" i="5" s="1"/>
  <c r="L21" i="1"/>
  <c r="L61" i="1" s="1"/>
  <c r="N21" i="1"/>
  <c r="N61" i="1" s="1"/>
  <c r="V8" i="1"/>
  <c r="V17" i="1" s="1"/>
  <c r="X7" i="5" s="1"/>
  <c r="V40" i="1"/>
  <c r="X14" i="5" s="1"/>
  <c r="V29" i="1"/>
  <c r="B12" i="3"/>
  <c r="C12" i="3"/>
  <c r="P18" i="1" s="1"/>
  <c r="X11" i="1"/>
  <c r="X16" i="1" s="1"/>
  <c r="X7" i="1"/>
  <c r="Z6" i="1"/>
  <c r="Z13" i="1" s="1"/>
  <c r="N47" i="1" l="1"/>
  <c r="V30" i="1"/>
  <c r="V36" i="1" s="1"/>
  <c r="X15" i="5"/>
  <c r="X8" i="5"/>
  <c r="X9" i="5" s="1"/>
  <c r="X11" i="5" s="1"/>
  <c r="L47" i="1"/>
  <c r="L59" i="1"/>
  <c r="X8" i="1"/>
  <c r="X17" i="1" s="1"/>
  <c r="Z7" i="5" s="1"/>
  <c r="X40" i="1"/>
  <c r="Z14" i="5" s="1"/>
  <c r="X29" i="1"/>
  <c r="D12" i="3"/>
  <c r="E12" i="3" s="1"/>
  <c r="P45" i="1" s="1"/>
  <c r="P19" i="1"/>
  <c r="C13" i="3"/>
  <c r="R18" i="1" s="1"/>
  <c r="Z11" i="1"/>
  <c r="Z16" i="1" s="1"/>
  <c r="Z7" i="1"/>
  <c r="AB6" i="1"/>
  <c r="AB13" i="1" s="1"/>
  <c r="X30" i="1" l="1"/>
  <c r="X36" i="1" s="1"/>
  <c r="Z15" i="5"/>
  <c r="Z8" i="5"/>
  <c r="Z9" i="5" s="1"/>
  <c r="Z11" i="5" s="1"/>
  <c r="Z8" i="1"/>
  <c r="Z17" i="1" s="1"/>
  <c r="AB7" i="5" s="1"/>
  <c r="Z40" i="1"/>
  <c r="AB14" i="5" s="1"/>
  <c r="Z29" i="1"/>
  <c r="P20" i="1"/>
  <c r="R19" i="1"/>
  <c r="B13" i="3"/>
  <c r="D13" i="3" s="1"/>
  <c r="E13" i="3" s="1"/>
  <c r="R45" i="1" s="1"/>
  <c r="AB11" i="1"/>
  <c r="AB16" i="1" s="1"/>
  <c r="AD6" i="1"/>
  <c r="AD13" i="1" s="1"/>
  <c r="AB7" i="1"/>
  <c r="Z30" i="1" l="1"/>
  <c r="Z36" i="1" s="1"/>
  <c r="AB15" i="5"/>
  <c r="AB8" i="5"/>
  <c r="AB9" i="5" s="1"/>
  <c r="AB11" i="5" s="1"/>
  <c r="P41" i="1"/>
  <c r="P42" i="1" s="1"/>
  <c r="R17" i="5"/>
  <c r="R33" i="5" s="1"/>
  <c r="P21" i="1"/>
  <c r="P61" i="1" s="1"/>
  <c r="AB8" i="1"/>
  <c r="AB17" i="1" s="1"/>
  <c r="AD7" i="5" s="1"/>
  <c r="AB40" i="1"/>
  <c r="AD14" i="5" s="1"/>
  <c r="AB29" i="1"/>
  <c r="R20" i="1"/>
  <c r="B14" i="3"/>
  <c r="C14" i="3"/>
  <c r="T18" i="1" s="1"/>
  <c r="AD11" i="1"/>
  <c r="AD16" i="1" s="1"/>
  <c r="AD7" i="1"/>
  <c r="F19" i="1"/>
  <c r="F20" i="1" s="1"/>
  <c r="H47" i="1"/>
  <c r="J47" i="1"/>
  <c r="AB30" i="1" l="1"/>
  <c r="AB36" i="1" s="1"/>
  <c r="AD15" i="5"/>
  <c r="AD8" i="5"/>
  <c r="AD9" i="5" s="1"/>
  <c r="AD11" i="5" s="1"/>
  <c r="R41" i="1"/>
  <c r="R42" i="1" s="1"/>
  <c r="T17" i="5"/>
  <c r="T33" i="5" s="1"/>
  <c r="P47" i="1"/>
  <c r="P59" i="1"/>
  <c r="J17" i="5"/>
  <c r="J33" i="5" s="1"/>
  <c r="H17" i="5"/>
  <c r="H33" i="5" s="1"/>
  <c r="R21" i="1"/>
  <c r="R61" i="1" s="1"/>
  <c r="AD8" i="1"/>
  <c r="AD17" i="1" s="1"/>
  <c r="AF7" i="5" s="1"/>
  <c r="AD40" i="1"/>
  <c r="AF14" i="5" s="1"/>
  <c r="AF20" i="5" s="1"/>
  <c r="AD29" i="1"/>
  <c r="D14" i="3"/>
  <c r="E14" i="3" s="1"/>
  <c r="T45" i="1" s="1"/>
  <c r="T19" i="1"/>
  <c r="F41" i="1"/>
  <c r="F42" i="1" s="1"/>
  <c r="AD30" i="1" l="1"/>
  <c r="AD36" i="1" s="1"/>
  <c r="AF15" i="5"/>
  <c r="AF21" i="5" s="1"/>
  <c r="AF8" i="5"/>
  <c r="AF9" i="5" s="1"/>
  <c r="AF11" i="5" s="1"/>
  <c r="R47" i="1"/>
  <c r="R59" i="1"/>
  <c r="F47" i="1"/>
  <c r="F59" i="1"/>
  <c r="T20" i="1"/>
  <c r="B15" i="3"/>
  <c r="C15" i="3"/>
  <c r="V18" i="1" s="1"/>
  <c r="F21" i="1"/>
  <c r="T41" i="1" l="1"/>
  <c r="T42" i="1" s="1"/>
  <c r="V17" i="5"/>
  <c r="V33" i="5" s="1"/>
  <c r="F51" i="1"/>
  <c r="F60" i="1" s="1"/>
  <c r="F61" i="1"/>
  <c r="V19" i="1"/>
  <c r="V20" i="1" s="1"/>
  <c r="D15" i="3"/>
  <c r="E15" i="3" s="1"/>
  <c r="T21" i="1"/>
  <c r="T61" i="1" s="1"/>
  <c r="H51" i="1" l="1"/>
  <c r="H60" i="1" s="1"/>
  <c r="F62" i="1"/>
  <c r="F53" i="1"/>
  <c r="F56" i="1" s="1"/>
  <c r="V41" i="1"/>
  <c r="V42" i="1" s="1"/>
  <c r="V59" i="1" s="1"/>
  <c r="X17" i="5"/>
  <c r="X33" i="5" s="1"/>
  <c r="T47" i="1"/>
  <c r="T59" i="1"/>
  <c r="C16" i="3"/>
  <c r="X18" i="1" s="1"/>
  <c r="V45" i="1"/>
  <c r="B16" i="3"/>
  <c r="D16" i="3" s="1"/>
  <c r="E16" i="3" s="1"/>
  <c r="X45" i="1" s="1"/>
  <c r="V21" i="1"/>
  <c r="V61" i="1" s="1"/>
  <c r="J51" i="1" l="1"/>
  <c r="J60" i="1" s="1"/>
  <c r="H62" i="1"/>
  <c r="H53" i="1"/>
  <c r="H56" i="1" s="1"/>
  <c r="V47" i="1"/>
  <c r="B17" i="3"/>
  <c r="C17" i="3"/>
  <c r="Z18" i="1" s="1"/>
  <c r="Z19" i="1" s="1"/>
  <c r="Z20" i="1" s="1"/>
  <c r="X19" i="1"/>
  <c r="D17" i="3" l="1"/>
  <c r="E17" i="3" s="1"/>
  <c r="Z45" i="1" s="1"/>
  <c r="J62" i="1"/>
  <c r="L51" i="1"/>
  <c r="L62" i="1" s="1"/>
  <c r="J53" i="1"/>
  <c r="J56" i="1" s="1"/>
  <c r="C18" i="3"/>
  <c r="AB18" i="1" s="1"/>
  <c r="AB19" i="1" s="1"/>
  <c r="Z41" i="1"/>
  <c r="Z42" i="1" s="1"/>
  <c r="Z59" i="1" s="1"/>
  <c r="B18" i="3"/>
  <c r="D18" i="3" s="1"/>
  <c r="E18" i="3" s="1"/>
  <c r="AB45" i="1" s="1"/>
  <c r="X20" i="1"/>
  <c r="Z21" i="1"/>
  <c r="Z61" i="1" s="1"/>
  <c r="L60" i="1" l="1"/>
  <c r="L53" i="1"/>
  <c r="L56" i="1" s="1"/>
  <c r="N51" i="1"/>
  <c r="N62" i="1" s="1"/>
  <c r="Z47" i="1"/>
  <c r="X41" i="1"/>
  <c r="X42" i="1" s="1"/>
  <c r="AB17" i="5"/>
  <c r="AB33" i="5" s="1"/>
  <c r="Z17" i="5"/>
  <c r="Z33" i="5" s="1"/>
  <c r="C19" i="3"/>
  <c r="AD18" i="1" s="1"/>
  <c r="AD19" i="1" s="1"/>
  <c r="X21" i="1"/>
  <c r="X61" i="1" s="1"/>
  <c r="AB20" i="1"/>
  <c r="B19" i="3"/>
  <c r="D19" i="3" l="1"/>
  <c r="E19" i="3" s="1"/>
  <c r="AD45" i="1" s="1"/>
  <c r="E7" i="4" s="1"/>
  <c r="E10" i="4" s="1"/>
  <c r="N53" i="1"/>
  <c r="N56" i="1" s="1"/>
  <c r="N60" i="1"/>
  <c r="P51" i="1"/>
  <c r="P60" i="1" s="1"/>
  <c r="AB41" i="1"/>
  <c r="AB42" i="1" s="1"/>
  <c r="AD17" i="5"/>
  <c r="AD33" i="5" s="1"/>
  <c r="X47" i="1"/>
  <c r="X59" i="1"/>
  <c r="AD20" i="1"/>
  <c r="AD41" i="1" s="1"/>
  <c r="AD42" i="1" s="1"/>
  <c r="AB21" i="1"/>
  <c r="AB61" i="1" s="1"/>
  <c r="B20" i="3"/>
  <c r="C20" i="3"/>
  <c r="P53" i="1" l="1"/>
  <c r="P56" i="1" s="1"/>
  <c r="P62" i="1"/>
  <c r="R51" i="1"/>
  <c r="R60" i="1" s="1"/>
  <c r="AD47" i="1"/>
  <c r="AD59" i="1"/>
  <c r="AF17" i="5"/>
  <c r="AF23" i="5" s="1"/>
  <c r="AB47" i="1"/>
  <c r="AB59" i="1"/>
  <c r="D20" i="3"/>
  <c r="E20" i="3" s="1"/>
  <c r="B21" i="3" s="1"/>
  <c r="AD21" i="1"/>
  <c r="AD61" i="1" s="1"/>
  <c r="R62" i="1" l="1"/>
  <c r="R53" i="1"/>
  <c r="R56" i="1" s="1"/>
  <c r="T51" i="1"/>
  <c r="T62" i="1" s="1"/>
  <c r="AF33" i="5"/>
  <c r="D36" i="5" s="1"/>
  <c r="C21" i="3"/>
  <c r="D21" i="3" s="1"/>
  <c r="E21" i="3" s="1"/>
  <c r="B22" i="3" s="1"/>
  <c r="T53" i="1" l="1"/>
  <c r="T56" i="1" s="1"/>
  <c r="T60" i="1"/>
  <c r="V51" i="1"/>
  <c r="V62" i="1" s="1"/>
  <c r="C22" i="3"/>
  <c r="D22" i="3" s="1"/>
  <c r="E22" i="3" s="1"/>
  <c r="B23" i="3" s="1"/>
  <c r="V53" i="1" l="1"/>
  <c r="V56" i="1" s="1"/>
  <c r="V60" i="1"/>
  <c r="X51" i="1"/>
  <c r="X62" i="1" s="1"/>
  <c r="C23" i="3"/>
  <c r="D23" i="3" s="1"/>
  <c r="E23" i="3" s="1"/>
  <c r="B24" i="3" s="1"/>
  <c r="Z51" i="1" l="1"/>
  <c r="Z62" i="1" s="1"/>
  <c r="X60" i="1"/>
  <c r="X53" i="1"/>
  <c r="X56" i="1" s="1"/>
  <c r="C24" i="3"/>
  <c r="D24" i="3" s="1"/>
  <c r="E24" i="3" s="1"/>
  <c r="B25" i="3" s="1"/>
  <c r="Z53" i="1" l="1"/>
  <c r="Z56" i="1" s="1"/>
  <c r="Z60" i="1"/>
  <c r="AB51" i="1"/>
  <c r="AB60" i="1" s="1"/>
  <c r="C25" i="3"/>
  <c r="D25" i="3" s="1"/>
  <c r="E25" i="3" s="1"/>
  <c r="B26" i="3" s="1"/>
  <c r="AB53" i="1" l="1"/>
  <c r="AB56" i="1" s="1"/>
  <c r="AB62" i="1"/>
  <c r="AD51" i="1"/>
  <c r="AD53" i="1" s="1"/>
  <c r="AD56" i="1" s="1"/>
  <c r="C26" i="3"/>
  <c r="AD62" i="1" l="1"/>
  <c r="AD60" i="1"/>
  <c r="D26" i="3"/>
  <c r="E26" i="3" s="1"/>
  <c r="B27" i="3" s="1"/>
  <c r="C27" i="3" l="1"/>
  <c r="D27" i="3" s="1"/>
  <c r="E27" i="3" s="1"/>
  <c r="B28" i="3" s="1"/>
  <c r="C28" i="3" l="1"/>
  <c r="D28" i="3" s="1"/>
  <c r="E28" i="3" s="1"/>
  <c r="B29" i="3" s="1"/>
  <c r="C29" i="3" l="1"/>
  <c r="D29" i="3" s="1"/>
  <c r="E29" i="3" s="1"/>
  <c r="B30" i="3" s="1"/>
  <c r="C30" i="3" l="1"/>
  <c r="D30" i="3" s="1"/>
  <c r="E30" i="3" s="1"/>
  <c r="B31" i="3" s="1"/>
  <c r="C31" i="3" l="1"/>
  <c r="D31" i="3" l="1"/>
  <c r="E31" i="3" s="1"/>
  <c r="B32" i="3" s="1"/>
  <c r="C32" i="3" l="1"/>
  <c r="D32" i="3" s="1"/>
  <c r="E32" i="3" s="1"/>
  <c r="B33" i="3" s="1"/>
  <c r="C33" i="3" l="1"/>
  <c r="D33" i="3" l="1"/>
  <c r="E33" i="3" s="1"/>
  <c r="B34" i="3" s="1"/>
  <c r="C34" i="3" l="1"/>
  <c r="D34" i="3" l="1"/>
  <c r="E34" i="3" s="1"/>
  <c r="B35" i="3" s="1"/>
  <c r="C35" i="3" l="1"/>
  <c r="D35" i="3" s="1"/>
  <c r="E35" i="3" s="1"/>
  <c r="B36" i="3" s="1"/>
  <c r="C36" i="3" l="1"/>
  <c r="D36" i="3" s="1"/>
  <c r="E36" i="3" s="1"/>
  <c r="B37" i="3" s="1"/>
  <c r="C37" i="3" l="1"/>
  <c r="D37" i="3" s="1"/>
  <c r="E37" i="3" s="1"/>
  <c r="B38" i="3" s="1"/>
  <c r="C38" i="3" l="1"/>
  <c r="D38" i="3" s="1"/>
  <c r="E38" i="3" s="1"/>
  <c r="B39" i="3" s="1"/>
  <c r="C39" i="3" l="1"/>
  <c r="D39" i="3" s="1"/>
  <c r="E39" i="3" s="1"/>
  <c r="B40" i="3" s="1"/>
  <c r="C40" i="3" l="1"/>
  <c r="D40" i="3" l="1"/>
  <c r="E40" i="3" s="1"/>
  <c r="B41" i="3" s="1"/>
  <c r="C41" i="3" l="1"/>
  <c r="D41" i="3" l="1"/>
  <c r="E41" i="3" s="1"/>
  <c r="B42" i="3" s="1"/>
  <c r="C42" i="3" l="1"/>
  <c r="D42" i="3" l="1"/>
  <c r="E42" i="3" s="1"/>
  <c r="B43" i="3" s="1"/>
  <c r="C43" i="3" l="1"/>
  <c r="D43" i="3" l="1"/>
  <c r="E43" i="3" s="1"/>
  <c r="B44" i="3" s="1"/>
  <c r="C44" i="3" l="1"/>
  <c r="D44" i="3" s="1"/>
  <c r="E44" i="3" s="1"/>
  <c r="B45" i="3" s="1"/>
  <c r="C45" i="3" l="1"/>
  <c r="D45" i="3" s="1"/>
  <c r="E45" i="3" s="1"/>
  <c r="B46" i="3" s="1"/>
  <c r="C46" i="3" l="1"/>
  <c r="D46" i="3" l="1"/>
  <c r="E46" i="3" s="1"/>
  <c r="B47" i="3" s="1"/>
  <c r="C47" i="3" l="1"/>
  <c r="D47" i="3" l="1"/>
  <c r="E47" i="3" s="1"/>
  <c r="B48" i="3" s="1"/>
  <c r="C48" i="3" l="1"/>
  <c r="D48" i="3" s="1"/>
  <c r="E48" i="3" s="1"/>
  <c r="B49" i="3" s="1"/>
  <c r="C49" i="3" l="1"/>
  <c r="D49" i="3" l="1"/>
  <c r="E49" i="3" s="1"/>
  <c r="B50" i="3" s="1"/>
  <c r="C50" i="3" l="1"/>
  <c r="D50" i="3" l="1"/>
  <c r="E50" i="3" s="1"/>
  <c r="B51" i="3" s="1"/>
  <c r="C51" i="3" l="1"/>
  <c r="D51" i="3" s="1"/>
  <c r="E51" i="3" s="1"/>
  <c r="B52" i="3" s="1"/>
  <c r="C52" i="3" l="1"/>
  <c r="D52" i="3" s="1"/>
  <c r="E52" i="3" s="1"/>
  <c r="B53" i="3" s="1"/>
  <c r="C53" i="3" l="1"/>
  <c r="D53" i="3" l="1"/>
  <c r="E53" i="3" s="1"/>
  <c r="B54" i="3" s="1"/>
  <c r="C54" i="3" l="1"/>
  <c r="D54" i="3" s="1"/>
  <c r="E54" i="3" s="1"/>
  <c r="B55" i="3" s="1"/>
  <c r="C55" i="3" l="1"/>
  <c r="D55" i="3" s="1"/>
  <c r="E55" i="3" s="1"/>
  <c r="B56" i="3" s="1"/>
  <c r="C56" i="3" l="1"/>
  <c r="D56" i="3" s="1"/>
  <c r="E56" i="3" s="1"/>
  <c r="B57" i="3" s="1"/>
  <c r="C57" i="3" l="1"/>
  <c r="D57" i="3" s="1"/>
  <c r="E57" i="3" s="1"/>
  <c r="B58" i="3" s="1"/>
  <c r="C58" i="3" l="1"/>
  <c r="D58" i="3" s="1"/>
  <c r="E58" i="3" s="1"/>
  <c r="B59" i="3" s="1"/>
  <c r="C59" i="3" l="1"/>
  <c r="D59" i="3" l="1"/>
  <c r="E59" i="3" s="1"/>
  <c r="B60" i="3" s="1"/>
  <c r="C60" i="3" l="1"/>
  <c r="D60" i="3" s="1"/>
  <c r="E60" i="3" s="1"/>
  <c r="B61" i="3" s="1"/>
  <c r="C61" i="3" l="1"/>
  <c r="D61" i="3" l="1"/>
  <c r="E61" i="3" s="1"/>
  <c r="B62" i="3" s="1"/>
  <c r="C62" i="3" l="1"/>
  <c r="D62" i="3" s="1"/>
  <c r="E62" i="3" s="1"/>
  <c r="B63" i="3" s="1"/>
  <c r="C63" i="3" l="1"/>
  <c r="D63" i="3" s="1"/>
  <c r="E63" i="3" s="1"/>
  <c r="B64" i="3" s="1"/>
  <c r="C64" i="3" l="1"/>
  <c r="D64" i="3" l="1"/>
  <c r="E64" i="3" s="1"/>
  <c r="B65" i="3" s="1"/>
  <c r="C65" i="3" l="1"/>
  <c r="D65" i="3" l="1"/>
  <c r="E65" i="3" s="1"/>
  <c r="B66" i="3" s="1"/>
  <c r="C66" i="3" l="1"/>
  <c r="D66" i="3" s="1"/>
  <c r="E66" i="3" s="1"/>
  <c r="B67" i="3" s="1"/>
  <c r="C67" i="3" l="1"/>
  <c r="D67" i="3" l="1"/>
  <c r="E67" i="3" s="1"/>
  <c r="B68" i="3" s="1"/>
  <c r="C68" i="3" l="1"/>
  <c r="D68" i="3" s="1"/>
  <c r="E68" i="3" s="1"/>
  <c r="B69" i="3" s="1"/>
  <c r="C69" i="3" l="1"/>
  <c r="D69" i="3" s="1"/>
  <c r="E69" i="3" s="1"/>
  <c r="B70" i="3" s="1"/>
  <c r="C70" i="3" l="1"/>
  <c r="D70" i="3" s="1"/>
  <c r="E70" i="3" s="1"/>
  <c r="B71" i="3" s="1"/>
  <c r="C71" i="3" l="1"/>
  <c r="D71" i="3" s="1"/>
  <c r="E71" i="3" s="1"/>
  <c r="B72" i="3" s="1"/>
  <c r="C72" i="3" l="1"/>
  <c r="D72" i="3" l="1"/>
  <c r="E72" i="3" s="1"/>
  <c r="B73" i="3" s="1"/>
  <c r="C73" i="3" l="1"/>
  <c r="D73" i="3" s="1"/>
  <c r="E73" i="3" s="1"/>
  <c r="B74" i="3" s="1"/>
  <c r="C74" i="3" l="1"/>
  <c r="D74" i="3" l="1"/>
  <c r="E74" i="3" s="1"/>
  <c r="B75" i="3" s="1"/>
  <c r="C75" i="3" l="1"/>
  <c r="D75" i="3" s="1"/>
  <c r="E75" i="3" s="1"/>
  <c r="B76" i="3" s="1"/>
  <c r="C76" i="3" l="1"/>
  <c r="D76" i="3" s="1"/>
  <c r="E76" i="3" s="1"/>
  <c r="B77" i="3" s="1"/>
  <c r="C77" i="3" l="1"/>
  <c r="D77" i="3" s="1"/>
  <c r="E77" i="3" s="1"/>
  <c r="B78" i="3" s="1"/>
  <c r="C78" i="3" l="1"/>
  <c r="D78" i="3" l="1"/>
  <c r="E78" i="3" s="1"/>
  <c r="B79" i="3" s="1"/>
  <c r="C79" i="3" l="1"/>
  <c r="D79" i="3" l="1"/>
  <c r="E79" i="3" s="1"/>
  <c r="B80" i="3" s="1"/>
  <c r="C80" i="3" l="1"/>
  <c r="D80" i="3" s="1"/>
  <c r="E80" i="3" s="1"/>
  <c r="B81" i="3" s="1"/>
  <c r="C81" i="3" l="1"/>
  <c r="D81" i="3" s="1"/>
  <c r="E81" i="3" s="1"/>
  <c r="B82" i="3" s="1"/>
  <c r="C82" i="3" l="1"/>
  <c r="D82" i="3" s="1"/>
  <c r="E82" i="3" s="1"/>
  <c r="B83" i="3" s="1"/>
  <c r="C83" i="3" l="1"/>
  <c r="D83" i="3" s="1"/>
  <c r="E83" i="3" s="1"/>
  <c r="B84" i="3" s="1"/>
  <c r="C84" i="3" l="1"/>
  <c r="D84" i="3" l="1"/>
  <c r="E84" i="3" s="1"/>
  <c r="B85" i="3" s="1"/>
  <c r="C85" i="3" l="1"/>
  <c r="D85" i="3" l="1"/>
  <c r="E85" i="3" s="1"/>
  <c r="B86" i="3" s="1"/>
  <c r="C86" i="3" l="1"/>
  <c r="D86" i="3" l="1"/>
  <c r="E86" i="3" s="1"/>
  <c r="B87" i="3" s="1"/>
  <c r="C87" i="3" l="1"/>
  <c r="D87" i="3" s="1"/>
  <c r="E87" i="3" s="1"/>
  <c r="B88" i="3" s="1"/>
  <c r="C88" i="3" l="1"/>
  <c r="D88" i="3" l="1"/>
  <c r="E88" i="3" s="1"/>
  <c r="B89" i="3" s="1"/>
  <c r="C89" i="3" l="1"/>
  <c r="D89" i="3" l="1"/>
  <c r="E89" i="3" s="1"/>
  <c r="B90" i="3" s="1"/>
  <c r="C90" i="3" l="1"/>
  <c r="D90" i="3" l="1"/>
  <c r="E90" i="3" s="1"/>
  <c r="B91" i="3" s="1"/>
  <c r="C91" i="3" l="1"/>
  <c r="D91" i="3" s="1"/>
  <c r="E91" i="3" s="1"/>
  <c r="B92" i="3" s="1"/>
  <c r="C92" i="3" l="1"/>
  <c r="D92" i="3" l="1"/>
  <c r="E92" i="3" s="1"/>
  <c r="B93" i="3" s="1"/>
  <c r="C93" i="3" l="1"/>
  <c r="D93" i="3" s="1"/>
  <c r="E93" i="3" s="1"/>
  <c r="B94" i="3" s="1"/>
  <c r="C94" i="3" l="1"/>
  <c r="D94" i="3" l="1"/>
  <c r="E94" i="3" s="1"/>
  <c r="B95" i="3" s="1"/>
  <c r="C95" i="3" l="1"/>
  <c r="D95" i="3" l="1"/>
  <c r="E95" i="3" s="1"/>
  <c r="B96" i="3" s="1"/>
  <c r="C96" i="3" l="1"/>
  <c r="D96" i="3" s="1"/>
  <c r="E96" i="3" s="1"/>
  <c r="B97" i="3" s="1"/>
  <c r="C97" i="3" l="1"/>
  <c r="D97" i="3" s="1"/>
  <c r="E97" i="3" s="1"/>
  <c r="B98" i="3" s="1"/>
  <c r="C98" i="3" l="1"/>
  <c r="D98" i="3" l="1"/>
  <c r="E98" i="3" s="1"/>
  <c r="B99" i="3" s="1"/>
  <c r="C99" i="3" l="1"/>
  <c r="D99" i="3" s="1"/>
  <c r="E99" i="3" s="1"/>
  <c r="B100" i="3" s="1"/>
  <c r="C100" i="3" l="1"/>
  <c r="D100" i="3" l="1"/>
  <c r="E100" i="3" s="1"/>
  <c r="B101" i="3" s="1"/>
  <c r="C101" i="3" l="1"/>
  <c r="D101" i="3" l="1"/>
  <c r="E101" i="3" s="1"/>
  <c r="B102" i="3" s="1"/>
  <c r="C102" i="3" l="1"/>
  <c r="D102" i="3" l="1"/>
  <c r="E102" i="3" s="1"/>
  <c r="B103" i="3" s="1"/>
  <c r="C103" i="3" l="1"/>
  <c r="D103" i="3" l="1"/>
  <c r="E103" i="3" s="1"/>
  <c r="B104" i="3" s="1"/>
  <c r="C104" i="3" l="1"/>
  <c r="D104" i="3" l="1"/>
  <c r="E104" i="3" s="1"/>
  <c r="B105" i="3" s="1"/>
  <c r="C105" i="3" l="1"/>
  <c r="D105" i="3" s="1"/>
  <c r="E105" i="3" s="1"/>
  <c r="B106" i="3" s="1"/>
  <c r="C106" i="3" l="1"/>
  <c r="D106" i="3" l="1"/>
  <c r="E106" i="3" s="1"/>
  <c r="B107" i="3" s="1"/>
  <c r="C107" i="3" l="1"/>
  <c r="D107" i="3" s="1"/>
  <c r="E107" i="3" s="1"/>
  <c r="B108" i="3" s="1"/>
  <c r="C108" i="3" l="1"/>
  <c r="D108" i="3" s="1"/>
  <c r="E108" i="3" s="1"/>
  <c r="B109" i="3" s="1"/>
  <c r="C109" i="3" l="1"/>
  <c r="D109" i="3" s="1"/>
  <c r="E109" i="3" s="1"/>
  <c r="B110" i="3" s="1"/>
  <c r="C110" i="3" l="1"/>
  <c r="D110" i="3" s="1"/>
  <c r="E110" i="3" s="1"/>
  <c r="B111" i="3" s="1"/>
  <c r="C111" i="3" l="1"/>
  <c r="D111" i="3" s="1"/>
  <c r="E111" i="3" s="1"/>
  <c r="B112" i="3" s="1"/>
  <c r="C112" i="3" l="1"/>
  <c r="D112" i="3" l="1"/>
  <c r="E112" i="3" s="1"/>
  <c r="B113" i="3" s="1"/>
  <c r="C113" i="3" l="1"/>
  <c r="D113" i="3" l="1"/>
  <c r="E113" i="3" s="1"/>
  <c r="B114" i="3" s="1"/>
  <c r="C114" i="3" l="1"/>
  <c r="D114" i="3" l="1"/>
  <c r="E114" i="3" s="1"/>
  <c r="B115" i="3" s="1"/>
  <c r="C115" i="3" l="1"/>
  <c r="D115" i="3" l="1"/>
  <c r="E115" i="3" s="1"/>
  <c r="B116" i="3" s="1"/>
  <c r="C116" i="3" l="1"/>
  <c r="D116" i="3" s="1"/>
  <c r="E116" i="3" s="1"/>
  <c r="B117" i="3" s="1"/>
  <c r="C117" i="3" l="1"/>
  <c r="D117" i="3" l="1"/>
  <c r="E117" i="3" s="1"/>
  <c r="B118" i="3" s="1"/>
  <c r="C118" i="3" l="1"/>
  <c r="D118" i="3" s="1"/>
  <c r="E118" i="3" s="1"/>
  <c r="B119" i="3" s="1"/>
  <c r="C119" i="3" l="1"/>
  <c r="D119" i="3" l="1"/>
  <c r="E119" i="3" s="1"/>
  <c r="B120" i="3" s="1"/>
  <c r="C120" i="3" l="1"/>
  <c r="D120" i="3" s="1"/>
  <c r="E120" i="3" s="1"/>
  <c r="B121" i="3" s="1"/>
  <c r="C121" i="3" l="1"/>
  <c r="D121" i="3" l="1"/>
  <c r="E121" i="3" s="1"/>
  <c r="B122" i="3" s="1"/>
  <c r="C122" i="3" l="1"/>
  <c r="D122" i="3" s="1"/>
  <c r="E122" i="3" s="1"/>
  <c r="B123" i="3" s="1"/>
  <c r="C123" i="3" l="1"/>
  <c r="D123" i="3" s="1"/>
  <c r="E123" i="3" s="1"/>
  <c r="B124" i="3" s="1"/>
  <c r="C124" i="3" l="1"/>
  <c r="D124" i="3" s="1"/>
  <c r="E124" i="3" s="1"/>
  <c r="B125" i="3" s="1"/>
  <c r="C125" i="3" l="1"/>
  <c r="D125" i="3" l="1"/>
  <c r="E125" i="3" s="1"/>
  <c r="B126" i="3" s="1"/>
  <c r="C126" i="3" l="1"/>
  <c r="D126" i="3" s="1"/>
  <c r="E126" i="3" s="1"/>
  <c r="B127" i="3" s="1"/>
  <c r="C127" i="3" l="1"/>
  <c r="D127" i="3" s="1"/>
  <c r="E127" i="3" s="1"/>
  <c r="B128" i="3" s="1"/>
  <c r="C128" i="3" l="1"/>
  <c r="D128" i="3" l="1"/>
  <c r="E128" i="3" s="1"/>
  <c r="B129" i="3" s="1"/>
  <c r="C129" i="3" l="1"/>
  <c r="D129" i="3" s="1"/>
  <c r="E129" i="3" s="1"/>
  <c r="B130" i="3" s="1"/>
  <c r="C130" i="3" l="1"/>
  <c r="D130" i="3" l="1"/>
  <c r="E130" i="3" s="1"/>
  <c r="B131" i="3" s="1"/>
  <c r="C131" i="3" l="1"/>
  <c r="D131" i="3" s="1"/>
  <c r="E131" i="3" s="1"/>
  <c r="B132" i="3" s="1"/>
  <c r="C132" i="3" l="1"/>
  <c r="D132" i="3" s="1"/>
  <c r="E132" i="3" s="1"/>
  <c r="B133" i="3" s="1"/>
  <c r="C133" i="3" l="1"/>
  <c r="D133" i="3" s="1"/>
  <c r="E133" i="3" s="1"/>
  <c r="B134" i="3" s="1"/>
  <c r="C134" i="3" l="1"/>
  <c r="D134" i="3" s="1"/>
  <c r="E134" i="3" s="1"/>
  <c r="B135" i="3" s="1"/>
  <c r="C135" i="3" l="1"/>
  <c r="D135" i="3" l="1"/>
  <c r="E135" i="3" s="1"/>
  <c r="B136" i="3" s="1"/>
  <c r="C136" i="3" l="1"/>
  <c r="D136" i="3" l="1"/>
  <c r="E136" i="3" s="1"/>
  <c r="B137" i="3" s="1"/>
  <c r="C137" i="3" l="1"/>
  <c r="D137" i="3" s="1"/>
  <c r="E137" i="3" s="1"/>
  <c r="B138" i="3" s="1"/>
  <c r="C138" i="3" l="1"/>
  <c r="D138" i="3" l="1"/>
  <c r="E138" i="3" s="1"/>
  <c r="B139" i="3" s="1"/>
  <c r="C139" i="3" l="1"/>
  <c r="D139" i="3" s="1"/>
  <c r="E139" i="3" s="1"/>
  <c r="B140" i="3" s="1"/>
  <c r="C140" i="3" l="1"/>
  <c r="D140" i="3" s="1"/>
  <c r="E140" i="3" s="1"/>
  <c r="B141" i="3" s="1"/>
  <c r="C141" i="3" l="1"/>
  <c r="D141" i="3" s="1"/>
  <c r="E141" i="3" s="1"/>
  <c r="B142" i="3" s="1"/>
  <c r="C142" i="3" l="1"/>
  <c r="D142" i="3" s="1"/>
  <c r="E142" i="3" s="1"/>
  <c r="B143" i="3" s="1"/>
  <c r="C143" i="3" l="1"/>
  <c r="D143" i="3" s="1"/>
  <c r="E143" i="3" s="1"/>
  <c r="B144" i="3" s="1"/>
  <c r="C144" i="3" l="1"/>
  <c r="D144" i="3" s="1"/>
  <c r="E144" i="3" s="1"/>
  <c r="B145" i="3" s="1"/>
  <c r="C145" i="3" l="1"/>
  <c r="D145" i="3" s="1"/>
  <c r="E145" i="3" s="1"/>
  <c r="B146" i="3" s="1"/>
  <c r="C146" i="3" l="1"/>
  <c r="D146" i="3" s="1"/>
  <c r="E146" i="3" s="1"/>
  <c r="B147" i="3" s="1"/>
  <c r="C147" i="3" l="1"/>
  <c r="D147" i="3" l="1"/>
  <c r="E147" i="3" s="1"/>
  <c r="B148" i="3" s="1"/>
  <c r="C148" i="3" l="1"/>
  <c r="D148" i="3" l="1"/>
  <c r="E148" i="3" s="1"/>
  <c r="B149" i="3" s="1"/>
  <c r="C149" i="3" l="1"/>
  <c r="D149" i="3" s="1"/>
  <c r="E149" i="3" s="1"/>
  <c r="B150" i="3" s="1"/>
  <c r="C150" i="3" l="1"/>
  <c r="D150" i="3" s="1"/>
  <c r="E150" i="3" s="1"/>
  <c r="B151" i="3" s="1"/>
  <c r="C151" i="3" l="1"/>
  <c r="D151" i="3" s="1"/>
  <c r="E151" i="3" s="1"/>
  <c r="B152" i="3" s="1"/>
  <c r="C152" i="3" l="1"/>
  <c r="D152" i="3" s="1"/>
  <c r="E152" i="3" s="1"/>
  <c r="B153" i="3" s="1"/>
  <c r="C153" i="3" l="1"/>
  <c r="D153" i="3" s="1"/>
  <c r="E153" i="3" s="1"/>
  <c r="B154" i="3" s="1"/>
  <c r="C154" i="3" l="1"/>
  <c r="D154" i="3" s="1"/>
  <c r="E154" i="3" s="1"/>
  <c r="B155" i="3" s="1"/>
  <c r="C155" i="3" l="1"/>
  <c r="D155" i="3" s="1"/>
  <c r="E155" i="3" s="1"/>
  <c r="B156" i="3" s="1"/>
  <c r="C156" i="3" l="1"/>
  <c r="D156" i="3" l="1"/>
  <c r="E156" i="3" s="1"/>
  <c r="B157" i="3" s="1"/>
  <c r="C157" i="3" l="1"/>
  <c r="D157" i="3" l="1"/>
  <c r="E157" i="3" s="1"/>
  <c r="B158" i="3" s="1"/>
  <c r="C158" i="3" l="1"/>
  <c r="D158" i="3" l="1"/>
  <c r="E158" i="3" s="1"/>
  <c r="B159" i="3" s="1"/>
  <c r="C159" i="3" l="1"/>
  <c r="D159" i="3" s="1"/>
  <c r="E159" i="3" s="1"/>
  <c r="B160" i="3" s="1"/>
  <c r="C160" i="3" l="1"/>
  <c r="D160" i="3" s="1"/>
  <c r="E160" i="3" s="1"/>
  <c r="B161" i="3" s="1"/>
  <c r="C161" i="3" l="1"/>
  <c r="D161" i="3" l="1"/>
  <c r="E161" i="3" s="1"/>
  <c r="B162" i="3" s="1"/>
  <c r="C162" i="3" l="1"/>
  <c r="D162" i="3" s="1"/>
  <c r="E162" i="3" s="1"/>
  <c r="B163" i="3" s="1"/>
  <c r="C163" i="3" l="1"/>
  <c r="D163" i="3" s="1"/>
  <c r="E163" i="3" s="1"/>
  <c r="B164" i="3" s="1"/>
  <c r="C164" i="3" l="1"/>
  <c r="D164" i="3" s="1"/>
  <c r="E164" i="3" s="1"/>
  <c r="B165" i="3" s="1"/>
  <c r="C165" i="3" l="1"/>
  <c r="D165" i="3" l="1"/>
  <c r="E165" i="3" s="1"/>
  <c r="B166" i="3" s="1"/>
  <c r="C166" i="3" l="1"/>
  <c r="D166" i="3" l="1"/>
  <c r="E166" i="3" s="1"/>
  <c r="B167" i="3" s="1"/>
  <c r="C167" i="3" l="1"/>
  <c r="D167" i="3" s="1"/>
  <c r="E167" i="3" s="1"/>
  <c r="B168" i="3" s="1"/>
  <c r="C168" i="3" l="1"/>
  <c r="D168" i="3" s="1"/>
  <c r="E168" i="3" s="1"/>
  <c r="B169" i="3" s="1"/>
  <c r="C169" i="3" l="1"/>
  <c r="D169" i="3" s="1"/>
  <c r="E169" i="3" s="1"/>
  <c r="B170" i="3" s="1"/>
  <c r="C170" i="3" l="1"/>
  <c r="D170" i="3" s="1"/>
  <c r="E170" i="3" s="1"/>
  <c r="B171" i="3" s="1"/>
  <c r="C171" i="3" l="1"/>
  <c r="D171" i="3" l="1"/>
  <c r="E171" i="3" s="1"/>
  <c r="B172" i="3" s="1"/>
  <c r="C172" i="3" l="1"/>
  <c r="D172" i="3" s="1"/>
  <c r="E172" i="3" s="1"/>
  <c r="B173" i="3" s="1"/>
  <c r="C173" i="3" l="1"/>
  <c r="D173" i="3" s="1"/>
  <c r="E173" i="3" s="1"/>
  <c r="B174" i="3" s="1"/>
  <c r="C174" i="3" l="1"/>
  <c r="D174" i="3" s="1"/>
  <c r="E174" i="3" s="1"/>
  <c r="B175" i="3" s="1"/>
  <c r="C175" i="3" l="1"/>
  <c r="D175" i="3" s="1"/>
  <c r="E175" i="3" s="1"/>
  <c r="B176" i="3" s="1"/>
  <c r="C176" i="3" l="1"/>
  <c r="D176" i="3" l="1"/>
  <c r="E176" i="3" s="1"/>
  <c r="B177" i="3" s="1"/>
  <c r="C177" i="3" l="1"/>
  <c r="D177" i="3" s="1"/>
  <c r="E177" i="3" s="1"/>
  <c r="B178" i="3" s="1"/>
  <c r="C178" i="3" l="1"/>
  <c r="D178" i="3" s="1"/>
  <c r="E178" i="3" s="1"/>
  <c r="B179" i="3" s="1"/>
  <c r="C179" i="3" l="1"/>
  <c r="D179" i="3" l="1"/>
  <c r="E179" i="3" s="1"/>
  <c r="B180" i="3" s="1"/>
  <c r="C180" i="3" l="1"/>
  <c r="D180" i="3" s="1"/>
  <c r="E180" i="3" s="1"/>
  <c r="B181" i="3" s="1"/>
  <c r="C181" i="3" l="1"/>
  <c r="D181" i="3" s="1"/>
  <c r="E181" i="3" s="1"/>
  <c r="B182" i="3" s="1"/>
  <c r="C182" i="3" l="1"/>
  <c r="D182" i="3" s="1"/>
  <c r="E182" i="3" s="1"/>
  <c r="B183" i="3" s="1"/>
  <c r="C183" i="3" l="1"/>
  <c r="D183" i="3" s="1"/>
  <c r="E183" i="3" s="1"/>
  <c r="B184" i="3" s="1"/>
  <c r="C184" i="3" l="1"/>
  <c r="D184" i="3" s="1"/>
  <c r="E184" i="3" s="1"/>
  <c r="B185" i="3" s="1"/>
  <c r="C185" i="3" l="1"/>
  <c r="D185" i="3" s="1"/>
  <c r="E185" i="3" s="1"/>
  <c r="B186" i="3" s="1"/>
  <c r="C186" i="3" l="1"/>
  <c r="D186" i="3" s="1"/>
  <c r="E186" i="3" s="1"/>
  <c r="B187" i="3" s="1"/>
  <c r="C187" i="3" l="1"/>
  <c r="D187" i="3" l="1"/>
  <c r="E187" i="3" s="1"/>
  <c r="B188" i="3" s="1"/>
  <c r="C188" i="3" l="1"/>
  <c r="D188" i="3" s="1"/>
  <c r="E188" i="3" s="1"/>
  <c r="B189" i="3" s="1"/>
  <c r="C189" i="3" l="1"/>
  <c r="D189" i="3" l="1"/>
  <c r="E189" i="3" s="1"/>
  <c r="B190" i="3" s="1"/>
  <c r="C190" i="3" l="1"/>
  <c r="D190" i="3" l="1"/>
  <c r="E190" i="3" s="1"/>
  <c r="B191" i="3" s="1"/>
  <c r="C191" i="3" l="1"/>
  <c r="D191" i="3" s="1"/>
  <c r="E191" i="3" s="1"/>
  <c r="B192" i="3" s="1"/>
  <c r="C192" i="3" l="1"/>
  <c r="D192" i="3" s="1"/>
  <c r="E192" i="3" s="1"/>
  <c r="B193" i="3" s="1"/>
  <c r="C193" i="3" l="1"/>
  <c r="D193" i="3" s="1"/>
  <c r="E193" i="3" s="1"/>
  <c r="B194" i="3" s="1"/>
  <c r="C194" i="3" l="1"/>
  <c r="D194" i="3" s="1"/>
  <c r="E194" i="3" s="1"/>
  <c r="B195" i="3" s="1"/>
  <c r="C195" i="3" l="1"/>
  <c r="D195" i="3" s="1"/>
  <c r="E195" i="3" s="1"/>
  <c r="B196" i="3" s="1"/>
  <c r="C196" i="3" l="1"/>
  <c r="D196" i="3" s="1"/>
  <c r="E196" i="3" s="1"/>
  <c r="B197" i="3" s="1"/>
  <c r="C197" i="3" l="1"/>
  <c r="D197" i="3" s="1"/>
  <c r="E197" i="3" s="1"/>
  <c r="B198" i="3" s="1"/>
  <c r="C198" i="3" l="1"/>
  <c r="D198" i="3" l="1"/>
  <c r="E198" i="3" s="1"/>
  <c r="B199" i="3" s="1"/>
  <c r="C199" i="3" l="1"/>
  <c r="D199" i="3" s="1"/>
  <c r="E199" i="3" s="1"/>
  <c r="B200" i="3" s="1"/>
  <c r="C200" i="3" l="1"/>
  <c r="D200" i="3" s="1"/>
  <c r="E200" i="3" s="1"/>
  <c r="B201" i="3" s="1"/>
  <c r="C201" i="3" l="1"/>
  <c r="D201" i="3" s="1"/>
  <c r="E201" i="3" s="1"/>
  <c r="B202" i="3" s="1"/>
  <c r="C202" i="3" l="1"/>
  <c r="D202" i="3" s="1"/>
  <c r="E202" i="3" s="1"/>
  <c r="B203" i="3" s="1"/>
  <c r="C203" i="3" l="1"/>
  <c r="D203" i="3" s="1"/>
  <c r="E203" i="3" s="1"/>
  <c r="B204" i="3" s="1"/>
  <c r="C204" i="3" l="1"/>
  <c r="D204" i="3" s="1"/>
  <c r="E204" i="3" s="1"/>
  <c r="B205" i="3" s="1"/>
  <c r="C205" i="3" l="1"/>
  <c r="D205" i="3" l="1"/>
  <c r="E205" i="3" s="1"/>
  <c r="B206" i="3" s="1"/>
  <c r="C206" i="3" l="1"/>
  <c r="D206" i="3" l="1"/>
  <c r="E206" i="3" s="1"/>
  <c r="B207" i="3" s="1"/>
  <c r="C207" i="3" l="1"/>
  <c r="D207" i="3" s="1"/>
  <c r="E207" i="3" s="1"/>
  <c r="B208" i="3" s="1"/>
  <c r="C208" i="3" l="1"/>
  <c r="D208" i="3" s="1"/>
  <c r="E208" i="3" s="1"/>
  <c r="B209" i="3" s="1"/>
  <c r="C209" i="3" l="1"/>
  <c r="D209" i="3" s="1"/>
  <c r="E209" i="3" s="1"/>
  <c r="B210" i="3" s="1"/>
  <c r="C210" i="3" l="1"/>
  <c r="D210" i="3" s="1"/>
  <c r="E210" i="3" s="1"/>
  <c r="B211" i="3" s="1"/>
  <c r="C211" i="3" l="1"/>
  <c r="D211" i="3" s="1"/>
  <c r="E211" i="3" s="1"/>
  <c r="B212" i="3" s="1"/>
  <c r="C212" i="3" l="1"/>
  <c r="D212" i="3" l="1"/>
  <c r="E212" i="3" s="1"/>
  <c r="B213" i="3" s="1"/>
  <c r="C213" i="3" l="1"/>
  <c r="D213" i="3" l="1"/>
  <c r="E213" i="3" s="1"/>
  <c r="B214" i="3" s="1"/>
  <c r="C214" i="3" l="1"/>
  <c r="D214" i="3" l="1"/>
  <c r="E214" i="3" s="1"/>
  <c r="B215" i="3" s="1"/>
  <c r="C215" i="3" l="1"/>
  <c r="D215" i="3" s="1"/>
  <c r="E215" i="3" s="1"/>
  <c r="B216" i="3" s="1"/>
  <c r="C216" i="3" l="1"/>
  <c r="D216" i="3" l="1"/>
  <c r="E216" i="3" s="1"/>
  <c r="B217" i="3" s="1"/>
  <c r="C217" i="3" l="1"/>
  <c r="D217" i="3" s="1"/>
  <c r="E217" i="3" s="1"/>
  <c r="B218" i="3" s="1"/>
  <c r="C218" i="3" l="1"/>
  <c r="D218" i="3" s="1"/>
  <c r="E218" i="3" s="1"/>
  <c r="B219" i="3" s="1"/>
  <c r="C219" i="3" l="1"/>
  <c r="D219" i="3" s="1"/>
  <c r="E219" i="3" s="1"/>
  <c r="B220" i="3" s="1"/>
  <c r="C220" i="3" l="1"/>
  <c r="D220" i="3" s="1"/>
  <c r="E220" i="3" s="1"/>
  <c r="B221" i="3" s="1"/>
  <c r="C221" i="3" l="1"/>
  <c r="D221" i="3" s="1"/>
  <c r="E221" i="3" s="1"/>
  <c r="B222" i="3" s="1"/>
  <c r="C222" i="3" l="1"/>
  <c r="D222" i="3" s="1"/>
  <c r="E222" i="3" s="1"/>
  <c r="B223" i="3" s="1"/>
  <c r="C223" i="3" l="1"/>
  <c r="D223" i="3" s="1"/>
  <c r="E223" i="3" s="1"/>
  <c r="B224" i="3" s="1"/>
  <c r="C224" i="3" l="1"/>
  <c r="D224" i="3" s="1"/>
  <c r="E224" i="3" s="1"/>
  <c r="B225" i="3" s="1"/>
  <c r="C225" i="3" l="1"/>
  <c r="D225" i="3" s="1"/>
  <c r="E225" i="3" s="1"/>
  <c r="B226" i="3" s="1"/>
  <c r="C226" i="3" l="1"/>
  <c r="D226" i="3" s="1"/>
  <c r="E226" i="3" s="1"/>
  <c r="B227" i="3" s="1"/>
  <c r="C227" i="3" l="1"/>
  <c r="D227" i="3" s="1"/>
  <c r="E227" i="3" s="1"/>
  <c r="B228" i="3" s="1"/>
  <c r="C228" i="3" l="1"/>
  <c r="D228" i="3" s="1"/>
  <c r="E228" i="3" s="1"/>
  <c r="B229" i="3" s="1"/>
  <c r="C229" i="3" l="1"/>
  <c r="D229" i="3" s="1"/>
  <c r="E229" i="3" s="1"/>
  <c r="B230" i="3" s="1"/>
  <c r="C230" i="3" l="1"/>
  <c r="D230" i="3" s="1"/>
  <c r="E230" i="3" s="1"/>
  <c r="B231" i="3" s="1"/>
  <c r="C231" i="3" l="1"/>
  <c r="D231" i="3" l="1"/>
  <c r="E231" i="3" s="1"/>
  <c r="B232" i="3" s="1"/>
  <c r="C232" i="3" l="1"/>
  <c r="D232" i="3" l="1"/>
  <c r="E232" i="3" s="1"/>
  <c r="B233" i="3" s="1"/>
  <c r="C233" i="3" l="1"/>
  <c r="D233" i="3" l="1"/>
  <c r="E233" i="3" s="1"/>
  <c r="B234" i="3" s="1"/>
  <c r="C234" i="3" l="1"/>
  <c r="D234" i="3" s="1"/>
  <c r="E234" i="3" s="1"/>
  <c r="B235" i="3" s="1"/>
  <c r="C235" i="3" l="1"/>
  <c r="D235" i="3" l="1"/>
  <c r="E235" i="3" s="1"/>
  <c r="B236" i="3" s="1"/>
  <c r="C236" i="3" l="1"/>
  <c r="D236" i="3" s="1"/>
  <c r="E236" i="3" s="1"/>
  <c r="B237" i="3" s="1"/>
  <c r="C237" i="3" l="1"/>
  <c r="D237" i="3" l="1"/>
  <c r="E237" i="3" s="1"/>
  <c r="B238" i="3" s="1"/>
  <c r="C238" i="3" l="1"/>
  <c r="D238" i="3" s="1"/>
  <c r="E238" i="3" s="1"/>
  <c r="B239" i="3" s="1"/>
  <c r="C239" i="3" l="1"/>
  <c r="D239" i="3" s="1"/>
  <c r="E239" i="3" s="1"/>
  <c r="B240" i="3" s="1"/>
  <c r="C240" i="3" l="1"/>
  <c r="D240" i="3" s="1"/>
  <c r="E240" i="3" s="1"/>
  <c r="B241" i="3" s="1"/>
  <c r="C241" i="3" l="1"/>
  <c r="D241" i="3" s="1"/>
  <c r="E241" i="3" s="1"/>
  <c r="B242" i="3" s="1"/>
  <c r="C242" i="3" l="1"/>
  <c r="D242" i="3" s="1"/>
  <c r="E242" i="3" s="1"/>
  <c r="B243" i="3" s="1"/>
  <c r="C243" i="3" l="1"/>
  <c r="D243" i="3" s="1"/>
  <c r="E243" i="3" s="1"/>
  <c r="B244" i="3" s="1"/>
  <c r="C244" i="3" l="1"/>
  <c r="D244" i="3" s="1"/>
  <c r="E244" i="3" s="1"/>
  <c r="B245" i="3" s="1"/>
  <c r="C245" i="3" l="1"/>
  <c r="D245" i="3" s="1"/>
  <c r="E245" i="3" s="1"/>
  <c r="B246" i="3" s="1"/>
  <c r="C246" i="3" l="1"/>
  <c r="D246" i="3" s="1"/>
  <c r="E246" i="3" s="1"/>
  <c r="B247" i="3" s="1"/>
  <c r="C247" i="3" l="1"/>
  <c r="D247" i="3" s="1"/>
  <c r="E247" i="3" s="1"/>
  <c r="B248" i="3" s="1"/>
  <c r="C248" i="3" l="1"/>
  <c r="D248" i="3" l="1"/>
  <c r="E248" i="3" s="1"/>
  <c r="B249" i="3" s="1"/>
  <c r="C249" i="3" l="1"/>
  <c r="D249" i="3" s="1"/>
  <c r="E249" i="3" s="1"/>
  <c r="B250" i="3" s="1"/>
  <c r="C250" i="3" l="1"/>
  <c r="D250" i="3" s="1"/>
  <c r="E250" i="3" s="1"/>
  <c r="B251" i="3" s="1"/>
  <c r="C251" i="3" l="1"/>
  <c r="D251" i="3" s="1"/>
  <c r="E251" i="3" s="1"/>
  <c r="B252" i="3" s="1"/>
  <c r="C252" i="3" l="1"/>
  <c r="D252" i="3" l="1"/>
  <c r="E252" i="3" s="1"/>
  <c r="B253" i="3" s="1"/>
  <c r="C253" i="3" l="1"/>
  <c r="D253" i="3" s="1"/>
  <c r="E253" i="3" s="1"/>
  <c r="B254" i="3" s="1"/>
  <c r="C254" i="3" l="1"/>
  <c r="D254" i="3" s="1"/>
  <c r="E254" i="3" s="1"/>
  <c r="B255" i="3" s="1"/>
  <c r="C255" i="3" l="1"/>
  <c r="D255" i="3" l="1"/>
  <c r="E255" i="3" s="1"/>
  <c r="B256" i="3" s="1"/>
  <c r="C256" i="3" l="1"/>
  <c r="D256" i="3" l="1"/>
  <c r="E256" i="3" s="1"/>
  <c r="B257" i="3" s="1"/>
  <c r="C257" i="3" l="1"/>
  <c r="D257" i="3" l="1"/>
  <c r="E257" i="3" s="1"/>
  <c r="B258" i="3" s="1"/>
  <c r="C258" i="3" l="1"/>
  <c r="D258" i="3" s="1"/>
  <c r="E258" i="3" s="1"/>
  <c r="B259" i="3" s="1"/>
  <c r="C259" i="3" l="1"/>
  <c r="D259" i="3" s="1"/>
  <c r="E259" i="3" s="1"/>
  <c r="B260" i="3" s="1"/>
  <c r="C260" i="3" l="1"/>
  <c r="D260" i="3" s="1"/>
  <c r="E260" i="3" s="1"/>
  <c r="B261" i="3" s="1"/>
  <c r="C261" i="3" l="1"/>
  <c r="D261" i="3" s="1"/>
  <c r="E261" i="3" s="1"/>
  <c r="B262" i="3" s="1"/>
  <c r="C262" i="3" l="1"/>
  <c r="D262" i="3" l="1"/>
  <c r="E262" i="3" s="1"/>
  <c r="B263" i="3" s="1"/>
  <c r="C263" i="3" l="1"/>
  <c r="D263" i="3" s="1"/>
  <c r="E263" i="3" s="1"/>
  <c r="B264" i="3" s="1"/>
  <c r="C264" i="3" l="1"/>
  <c r="D264" i="3" s="1"/>
  <c r="E264" i="3" s="1"/>
  <c r="B265" i="3" s="1"/>
  <c r="C265" i="3" l="1"/>
  <c r="D265" i="3" l="1"/>
  <c r="E265" i="3" s="1"/>
  <c r="B266" i="3" s="1"/>
  <c r="C266" i="3" l="1"/>
  <c r="D266" i="3" l="1"/>
  <c r="E266" i="3" s="1"/>
  <c r="B267" i="3" s="1"/>
  <c r="C267" i="3" l="1"/>
  <c r="D267" i="3" l="1"/>
  <c r="E267" i="3" s="1"/>
  <c r="B268" i="3" s="1"/>
  <c r="C268" i="3" l="1"/>
  <c r="D268" i="3" s="1"/>
  <c r="E268" i="3" s="1"/>
  <c r="B269" i="3" s="1"/>
  <c r="C269" i="3" l="1"/>
  <c r="D269" i="3" l="1"/>
  <c r="E269" i="3" s="1"/>
  <c r="B270" i="3" s="1"/>
  <c r="C270" i="3" l="1"/>
  <c r="D270" i="3" l="1"/>
  <c r="E270" i="3" s="1"/>
  <c r="B271" i="3" s="1"/>
  <c r="C271" i="3" l="1"/>
  <c r="D271" i="3" l="1"/>
  <c r="E271" i="3" s="1"/>
  <c r="B272" i="3" s="1"/>
  <c r="C272" i="3" l="1"/>
  <c r="D272" i="3" l="1"/>
  <c r="E272" i="3" s="1"/>
  <c r="B273" i="3" s="1"/>
  <c r="C273" i="3" l="1"/>
  <c r="D273" i="3" l="1"/>
  <c r="E273" i="3" s="1"/>
  <c r="B274" i="3" s="1"/>
  <c r="C274" i="3" l="1"/>
  <c r="D274" i="3" l="1"/>
  <c r="E274" i="3" s="1"/>
  <c r="B275" i="3" s="1"/>
  <c r="C275" i="3" l="1"/>
  <c r="D275" i="3" s="1"/>
  <c r="E275" i="3" s="1"/>
  <c r="B276" i="3" s="1"/>
  <c r="C276" i="3" l="1"/>
  <c r="D276" i="3" l="1"/>
  <c r="E276" i="3" s="1"/>
  <c r="B277" i="3" s="1"/>
  <c r="C277" i="3" l="1"/>
  <c r="D277" i="3" s="1"/>
  <c r="E277" i="3" s="1"/>
  <c r="B278" i="3" s="1"/>
  <c r="C278" i="3" l="1"/>
  <c r="D278" i="3" l="1"/>
  <c r="E278" i="3" s="1"/>
  <c r="B279" i="3" s="1"/>
  <c r="C279" i="3" l="1"/>
  <c r="D279" i="3" l="1"/>
  <c r="E279" i="3" s="1"/>
  <c r="B280" i="3" s="1"/>
  <c r="C280" i="3" l="1"/>
  <c r="D280" i="3" l="1"/>
  <c r="E280" i="3" s="1"/>
  <c r="B281" i="3" s="1"/>
  <c r="C281" i="3" l="1"/>
  <c r="D281" i="3" s="1"/>
  <c r="E281" i="3" s="1"/>
  <c r="B282" i="3" s="1"/>
  <c r="C282" i="3" l="1"/>
  <c r="D282" i="3" s="1"/>
  <c r="E282" i="3" s="1"/>
  <c r="B283" i="3" s="1"/>
  <c r="C283" i="3" l="1"/>
  <c r="D283" i="3" s="1"/>
  <c r="E283" i="3" s="1"/>
  <c r="D30" i="1"/>
  <c r="D36" i="1" l="1"/>
  <c r="D56" i="1" s="1"/>
  <c r="D59" i="1"/>
  <c r="AF34" i="5"/>
  <c r="P34" i="5"/>
  <c r="AB34" i="5"/>
  <c r="L34" i="5"/>
  <c r="R34" i="5"/>
  <c r="X34" i="5"/>
  <c r="H34" i="5"/>
  <c r="V34" i="5"/>
  <c r="F34" i="5"/>
  <c r="T34" i="5"/>
  <c r="Z34" i="5"/>
  <c r="J34" i="5"/>
  <c r="AD34" i="5"/>
  <c r="N34" i="5"/>
  <c r="D34" i="5"/>
  <c r="D61" i="1" l="1"/>
  <c r="D35" i="5"/>
</calcChain>
</file>

<file path=xl/sharedStrings.xml><?xml version="1.0" encoding="utf-8"?>
<sst xmlns="http://schemas.openxmlformats.org/spreadsheetml/2006/main" count="128" uniqueCount="115">
  <si>
    <t>Net Sales</t>
  </si>
  <si>
    <t>Income Statement For Victory Burger</t>
  </si>
  <si>
    <t>Assumptions</t>
  </si>
  <si>
    <t>COGS</t>
  </si>
  <si>
    <t>Gross Profit</t>
  </si>
  <si>
    <t>Salaries Expense</t>
  </si>
  <si>
    <t>Utility Expense</t>
  </si>
  <si>
    <t>Rent Expense</t>
  </si>
  <si>
    <t>Maintenance Expense</t>
  </si>
  <si>
    <t>Marketing Expense</t>
  </si>
  <si>
    <t>Total Operating Expenses</t>
  </si>
  <si>
    <t>EBITDA</t>
  </si>
  <si>
    <t>Depreciation Expense</t>
  </si>
  <si>
    <t>Interest Expense</t>
  </si>
  <si>
    <t>Profit Before Taxes</t>
  </si>
  <si>
    <t>Taxes</t>
  </si>
  <si>
    <t>Net Income</t>
  </si>
  <si>
    <t>Balance Sheet for Victory Burger</t>
  </si>
  <si>
    <t>Assets</t>
  </si>
  <si>
    <t>Cash</t>
  </si>
  <si>
    <t>Inventory</t>
  </si>
  <si>
    <t>PP&amp;E</t>
  </si>
  <si>
    <t>Less: Accum. Depr.</t>
  </si>
  <si>
    <t>Net PP&amp;E</t>
  </si>
  <si>
    <t>Total Assets</t>
  </si>
  <si>
    <t>Total Current Assets</t>
  </si>
  <si>
    <t>Liabilities</t>
  </si>
  <si>
    <t>Accounts Payable</t>
  </si>
  <si>
    <t>Income Tax Payable</t>
  </si>
  <si>
    <t>Total Current Liabilities</t>
  </si>
  <si>
    <t>Bank Loan Payable</t>
  </si>
  <si>
    <t>Total Liabilities</t>
  </si>
  <si>
    <t>Stockholders Equity</t>
  </si>
  <si>
    <t>Common Stock</t>
  </si>
  <si>
    <t>Retained Earnings</t>
  </si>
  <si>
    <t>Total S/E &amp; Liabilties</t>
  </si>
  <si>
    <t>Additional Funds Needed</t>
  </si>
  <si>
    <t>Financial Statements Assumptions</t>
  </si>
  <si>
    <t>Customers Served/Month</t>
  </si>
  <si>
    <t>Annual Sales Growth</t>
  </si>
  <si>
    <t>Salary Cost Per Month</t>
  </si>
  <si>
    <t>Utilities Percent of Sales</t>
  </si>
  <si>
    <t>Rental Fixed Costs</t>
  </si>
  <si>
    <t>Maintenance % of Sales</t>
  </si>
  <si>
    <t>COGS % of Sales</t>
  </si>
  <si>
    <t>Estimated Utilities Fixed Costs</t>
  </si>
  <si>
    <t>Notes</t>
  </si>
  <si>
    <t>One of these must be equal</t>
  </si>
  <si>
    <t>to zero.</t>
  </si>
  <si>
    <t>If renting space.</t>
  </si>
  <si>
    <t>Property Value</t>
  </si>
  <si>
    <t>If purchasing the property.</t>
  </si>
  <si>
    <t>Estimated Maintenance Costs</t>
  </si>
  <si>
    <t>Equipment Costs</t>
  </si>
  <si>
    <t>Salvage Value</t>
  </si>
  <si>
    <t>Determined by management.</t>
  </si>
  <si>
    <t>Advertising Costs</t>
  </si>
  <si>
    <t>Average Sale Per Customer</t>
  </si>
  <si>
    <t>Initial Balance Due on Loan</t>
  </si>
  <si>
    <t>Cash Paid</t>
  </si>
  <si>
    <t>Interest</t>
  </si>
  <si>
    <t>Principal</t>
  </si>
  <si>
    <t>Carrying Value</t>
  </si>
  <si>
    <t>Minimum Cash Payments</t>
  </si>
  <si>
    <t>All of these assumptions are</t>
  </si>
  <si>
    <t>related to the purchase of</t>
  </si>
  <si>
    <t>property.  If no purchase, all zero.</t>
  </si>
  <si>
    <t>Tax Rate</t>
  </si>
  <si>
    <t>Minimum Cash On Hand</t>
  </si>
  <si>
    <t>Average Days Inventory</t>
  </si>
  <si>
    <t>Other PP&amp;E</t>
  </si>
  <si>
    <t>Do not include property and equipment from before</t>
  </si>
  <si>
    <t>Average Days Payable</t>
  </si>
  <si>
    <t>Amount invested by external and internal sources.</t>
  </si>
  <si>
    <t>Difference</t>
  </si>
  <si>
    <t>WACC Assumptions</t>
  </si>
  <si>
    <t>Weighted Average Cost of Capital</t>
  </si>
  <si>
    <t>Use this button before looking over financial statements ---&gt;</t>
  </si>
  <si>
    <t>Return of T-Bills</t>
  </si>
  <si>
    <t>Projected return of T-Bills.</t>
  </si>
  <si>
    <t>Return of S&amp;P 500</t>
  </si>
  <si>
    <t>Projected return of the S&amp;P 500.</t>
  </si>
  <si>
    <t>Beta</t>
  </si>
  <si>
    <t>Beta of a comparable company on the stock market.</t>
  </si>
  <si>
    <t>Interest Rate on Initial Loan</t>
  </si>
  <si>
    <t>Interest Rate for Additional Loans</t>
  </si>
  <si>
    <t>Blended Cost of Debt</t>
  </si>
  <si>
    <t>New Beta Equity Holders Cost</t>
  </si>
  <si>
    <t>WACC</t>
  </si>
  <si>
    <t>Unlevered Beta</t>
  </si>
  <si>
    <t>Relevered Beta</t>
  </si>
  <si>
    <t>Current Ratio</t>
  </si>
  <si>
    <t>Debt to Equity Ratio</t>
  </si>
  <si>
    <t>Return on Assets</t>
  </si>
  <si>
    <t>Return on Equity</t>
  </si>
  <si>
    <t>Internal Rate of Return</t>
  </si>
  <si>
    <t>Cash Flow from Operations</t>
  </si>
  <si>
    <t>Operating Profit</t>
  </si>
  <si>
    <t>Income Taxes</t>
  </si>
  <si>
    <t>Income After Taxes</t>
  </si>
  <si>
    <t>Add: Depreciation</t>
  </si>
  <si>
    <t>Cash from Operations</t>
  </si>
  <si>
    <t>Changes in Working Capital</t>
  </si>
  <si>
    <t>Payables</t>
  </si>
  <si>
    <t>Liquidation in Working Capital</t>
  </si>
  <si>
    <t>Capital Expenditures</t>
  </si>
  <si>
    <t>Purchasing Building</t>
  </si>
  <si>
    <t>Purchase of Equipment</t>
  </si>
  <si>
    <t>Sale of Building</t>
  </si>
  <si>
    <t>Sale of Equipment</t>
  </si>
  <si>
    <t>Year</t>
  </si>
  <si>
    <t>Free Cash Flows</t>
  </si>
  <si>
    <t>PV of Free Cash Flows</t>
  </si>
  <si>
    <t>NPV</t>
  </si>
  <si>
    <t>IRR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</si>
</sst>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</cellStyleXfs>
  <cellXfs count="162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3" xfId="0" applyFill="1" applyBorder="1"/>
    <xf numFmtId="0" fontId="0" fillId="3" borderId="5" xfId="0" applyFill="1" applyBorder="1"/>
    <xf numFmtId="44" fontId="0" fillId="2" borderId="0" xfId="2" applyFont="1" applyFill="1" applyAlignment="1">
      <alignment horizontal="center"/>
    </xf>
    <xf numFmtId="44" fontId="0" fillId="3" borderId="6" xfId="2" applyFont="1" applyFill="1" applyBorder="1" applyAlignment="1">
      <alignment horizontal="center"/>
    </xf>
    <xf numFmtId="0" fontId="0" fillId="2" borderId="0" xfId="0" applyFill="1" applyAlignment="1">
      <alignment horizontal="right"/>
    </xf>
    <xf numFmtId="1" fontId="2" fillId="3" borderId="6" xfId="1" applyNumberFormat="1" applyFont="1" applyFill="1" applyBorder="1" applyAlignment="1">
      <alignment horizontal="center"/>
    </xf>
    <xf numFmtId="1" fontId="0" fillId="3" borderId="6" xfId="1" applyNumberFormat="1" applyFont="1" applyFill="1" applyBorder="1" applyAlignment="1">
      <alignment horizontal="center"/>
    </xf>
    <xf numFmtId="44" fontId="0" fillId="3" borderId="5" xfId="2" applyFont="1" applyFill="1" applyBorder="1" applyAlignment="1">
      <alignment horizontal="center"/>
    </xf>
    <xf numFmtId="0" fontId="0" fillId="3" borderId="1" xfId="0" applyFill="1" applyBorder="1" applyAlignment="1">
      <alignment horizontal="right"/>
    </xf>
    <xf numFmtId="44" fontId="0" fillId="3" borderId="1" xfId="2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44" fontId="0" fillId="3" borderId="11" xfId="2" applyFont="1" applyFill="1" applyBorder="1" applyAlignment="1">
      <alignment horizontal="center"/>
    </xf>
    <xf numFmtId="44" fontId="0" fillId="3" borderId="12" xfId="2" applyFont="1" applyFill="1" applyBorder="1" applyAlignment="1">
      <alignment horizontal="center"/>
    </xf>
    <xf numFmtId="44" fontId="0" fillId="3" borderId="13" xfId="2" applyFont="1" applyFill="1" applyBorder="1" applyAlignment="1">
      <alignment horizontal="center"/>
    </xf>
    <xf numFmtId="44" fontId="0" fillId="3" borderId="14" xfId="2" applyFont="1" applyFill="1" applyBorder="1" applyAlignment="1">
      <alignment horizontal="center"/>
    </xf>
    <xf numFmtId="44" fontId="0" fillId="3" borderId="15" xfId="2" applyFont="1" applyFill="1" applyBorder="1" applyAlignment="1">
      <alignment horizontal="center"/>
    </xf>
    <xf numFmtId="44" fontId="0" fillId="3" borderId="16" xfId="2" applyFont="1" applyFill="1" applyBorder="1" applyAlignment="1">
      <alignment horizontal="center"/>
    </xf>
    <xf numFmtId="44" fontId="0" fillId="3" borderId="17" xfId="2" applyFont="1" applyFill="1" applyBorder="1" applyAlignment="1">
      <alignment horizontal="center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44" fontId="0" fillId="3" borderId="0" xfId="2" applyFont="1" applyFill="1" applyBorder="1" applyAlignment="1">
      <alignment horizontal="center"/>
    </xf>
    <xf numFmtId="44" fontId="0" fillId="3" borderId="3" xfId="2" applyFont="1" applyFill="1" applyBorder="1" applyAlignment="1">
      <alignment horizontal="center"/>
    </xf>
    <xf numFmtId="44" fontId="0" fillId="3" borderId="18" xfId="2" applyFont="1" applyFill="1" applyBorder="1" applyAlignment="1">
      <alignment horizontal="center"/>
    </xf>
    <xf numFmtId="44" fontId="0" fillId="3" borderId="19" xfId="2" applyFont="1" applyFill="1" applyBorder="1" applyAlignment="1">
      <alignment horizontal="center"/>
    </xf>
    <xf numFmtId="44" fontId="0" fillId="3" borderId="20" xfId="2" applyFont="1" applyFill="1" applyBorder="1" applyAlignment="1">
      <alignment horizontal="center"/>
    </xf>
    <xf numFmtId="44" fontId="0" fillId="3" borderId="21" xfId="2" applyFont="1" applyFill="1" applyBorder="1" applyAlignment="1">
      <alignment horizontal="center"/>
    </xf>
    <xf numFmtId="0" fontId="0" fillId="3" borderId="11" xfId="0" applyFill="1" applyBorder="1"/>
    <xf numFmtId="0" fontId="0" fillId="3" borderId="7" xfId="0" applyFill="1" applyBorder="1"/>
    <xf numFmtId="0" fontId="0" fillId="3" borderId="6" xfId="0" applyFill="1" applyBorder="1" applyAlignment="1">
      <alignment horizontal="right"/>
    </xf>
    <xf numFmtId="44" fontId="0" fillId="3" borderId="22" xfId="2" applyFont="1" applyFill="1" applyBorder="1" applyAlignment="1">
      <alignment horizontal="center"/>
    </xf>
    <xf numFmtId="0" fontId="0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 applyBorder="1" applyAlignment="1"/>
    <xf numFmtId="0" fontId="0" fillId="3" borderId="8" xfId="0" applyFill="1" applyBorder="1"/>
    <xf numFmtId="0" fontId="0" fillId="3" borderId="10" xfId="0" applyFill="1" applyBorder="1"/>
    <xf numFmtId="0" fontId="3" fillId="3" borderId="0" xfId="0" applyFont="1" applyFill="1" applyBorder="1" applyAlignment="1"/>
    <xf numFmtId="0" fontId="4" fillId="3" borderId="0" xfId="0" applyFont="1" applyFill="1" applyBorder="1" applyAlignment="1">
      <alignment horizontal="center"/>
    </xf>
    <xf numFmtId="0" fontId="0" fillId="3" borderId="2" xfId="0" applyFill="1" applyBorder="1" applyAlignment="1"/>
    <xf numFmtId="0" fontId="0" fillId="3" borderId="11" xfId="0" applyFill="1" applyBorder="1" applyAlignment="1"/>
    <xf numFmtId="0" fontId="0" fillId="3" borderId="24" xfId="0" applyFill="1" applyBorder="1" applyAlignment="1"/>
    <xf numFmtId="0" fontId="0" fillId="3" borderId="25" xfId="0" applyFill="1" applyBorder="1" applyAlignment="1"/>
    <xf numFmtId="0" fontId="0" fillId="3" borderId="23" xfId="0" applyFill="1" applyBorder="1" applyAlignment="1"/>
    <xf numFmtId="165" fontId="5" fillId="3" borderId="23" xfId="1" applyNumberFormat="1" applyFont="1" applyFill="1" applyBorder="1" applyAlignment="1"/>
    <xf numFmtId="44" fontId="5" fillId="3" borderId="23" xfId="2" applyFont="1" applyFill="1" applyBorder="1" applyAlignment="1"/>
    <xf numFmtId="10" fontId="5" fillId="3" borderId="23" xfId="3" applyNumberFormat="1" applyFont="1" applyFill="1" applyBorder="1" applyAlignment="1"/>
    <xf numFmtId="164" fontId="5" fillId="3" borderId="23" xfId="2" applyNumberFormat="1" applyFont="1" applyFill="1" applyBorder="1" applyAlignment="1"/>
    <xf numFmtId="10" fontId="5" fillId="3" borderId="4" xfId="3" applyNumberFormat="1" applyFont="1" applyFill="1" applyBorder="1" applyAlignment="1"/>
    <xf numFmtId="164" fontId="5" fillId="3" borderId="7" xfId="2" applyNumberFormat="1" applyFont="1" applyFill="1" applyBorder="1" applyAlignment="1"/>
    <xf numFmtId="10" fontId="5" fillId="3" borderId="24" xfId="3" applyNumberFormat="1" applyFont="1" applyFill="1" applyBorder="1" applyAlignment="1"/>
    <xf numFmtId="0" fontId="0" fillId="3" borderId="26" xfId="0" applyFill="1" applyBorder="1" applyAlignment="1"/>
    <xf numFmtId="44" fontId="5" fillId="3" borderId="26" xfId="2" applyFont="1" applyFill="1" applyBorder="1" applyAlignment="1"/>
    <xf numFmtId="164" fontId="5" fillId="3" borderId="4" xfId="2" applyNumberFormat="1" applyFont="1" applyFill="1" applyBorder="1" applyAlignment="1"/>
    <xf numFmtId="0" fontId="0" fillId="3" borderId="3" xfId="0" applyFill="1" applyBorder="1" applyAlignment="1"/>
    <xf numFmtId="164" fontId="5" fillId="3" borderId="25" xfId="2" applyNumberFormat="1" applyFont="1" applyFill="1" applyBorder="1" applyAlignment="1"/>
    <xf numFmtId="164" fontId="5" fillId="3" borderId="24" xfId="2" applyNumberFormat="1" applyFont="1" applyFill="1" applyBorder="1" applyAlignment="1"/>
    <xf numFmtId="164" fontId="6" fillId="3" borderId="0" xfId="2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64" fontId="6" fillId="2" borderId="0" xfId="2" applyNumberFormat="1" applyFont="1" applyFill="1" applyAlignment="1">
      <alignment horizontal="center"/>
    </xf>
    <xf numFmtId="164" fontId="7" fillId="3" borderId="0" xfId="2" applyNumberFormat="1" applyFont="1" applyFill="1" applyBorder="1" applyAlignment="1"/>
    <xf numFmtId="164" fontId="6" fillId="3" borderId="0" xfId="2" applyNumberFormat="1" applyFont="1" applyFill="1" applyBorder="1" applyAlignment="1"/>
    <xf numFmtId="9" fontId="5" fillId="3" borderId="7" xfId="3" applyFont="1" applyFill="1" applyBorder="1" applyAlignment="1"/>
    <xf numFmtId="164" fontId="5" fillId="3" borderId="26" xfId="2" applyNumberFormat="1" applyFont="1" applyFill="1" applyBorder="1" applyAlignment="1"/>
    <xf numFmtId="43" fontId="5" fillId="3" borderId="23" xfId="1" applyFont="1" applyFill="1" applyBorder="1" applyAlignment="1"/>
    <xf numFmtId="43" fontId="5" fillId="3" borderId="24" xfId="1" applyNumberFormat="1" applyFont="1" applyFill="1" applyBorder="1" applyAlignment="1"/>
    <xf numFmtId="164" fontId="5" fillId="3" borderId="10" xfId="2" applyNumberFormat="1" applyFont="1" applyFill="1" applyBorder="1" applyAlignment="1"/>
    <xf numFmtId="44" fontId="0" fillId="3" borderId="0" xfId="0" applyNumberFormat="1" applyFill="1" applyBorder="1" applyAlignment="1">
      <alignment horizontal="right"/>
    </xf>
    <xf numFmtId="0" fontId="0" fillId="2" borderId="6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6" xfId="0" applyFill="1" applyBorder="1"/>
    <xf numFmtId="0" fontId="0" fillId="3" borderId="0" xfId="0" applyFill="1" applyAlignment="1">
      <alignment horizontal="right"/>
    </xf>
    <xf numFmtId="44" fontId="0" fillId="3" borderId="0" xfId="2" applyFont="1" applyFill="1" applyAlignment="1">
      <alignment horizontal="center"/>
    </xf>
    <xf numFmtId="0" fontId="0" fillId="3" borderId="26" xfId="0" applyFill="1" applyBorder="1" applyAlignment="1">
      <alignment horizontal="center"/>
    </xf>
    <xf numFmtId="0" fontId="0" fillId="3" borderId="0" xfId="0" applyFill="1" applyAlignment="1">
      <alignment horizontal="left"/>
    </xf>
    <xf numFmtId="0" fontId="0" fillId="3" borderId="11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9" fillId="3" borderId="0" xfId="0" applyFont="1" applyFill="1" applyBorder="1" applyAlignment="1">
      <alignment horizontal="right"/>
    </xf>
    <xf numFmtId="0" fontId="0" fillId="3" borderId="24" xfId="0" applyFill="1" applyBorder="1"/>
    <xf numFmtId="0" fontId="0" fillId="3" borderId="3" xfId="0" applyFill="1" applyBorder="1" applyAlignment="1">
      <alignment horizontal="right"/>
    </xf>
    <xf numFmtId="0" fontId="0" fillId="3" borderId="26" xfId="0" applyFill="1" applyBorder="1"/>
    <xf numFmtId="0" fontId="0" fillId="3" borderId="2" xfId="0" applyFill="1" applyBorder="1"/>
    <xf numFmtId="0" fontId="0" fillId="3" borderId="1" xfId="0" applyFill="1" applyBorder="1"/>
    <xf numFmtId="0" fontId="0" fillId="3" borderId="4" xfId="0" applyFill="1" applyBorder="1"/>
    <xf numFmtId="0" fontId="0" fillId="3" borderId="0" xfId="0" applyFill="1" applyBorder="1"/>
    <xf numFmtId="10" fontId="2" fillId="3" borderId="23" xfId="0" applyNumberFormat="1" applyFont="1" applyFill="1" applyBorder="1"/>
    <xf numFmtId="43" fontId="0" fillId="3" borderId="4" xfId="1" applyFont="1" applyFill="1" applyBorder="1"/>
    <xf numFmtId="43" fontId="0" fillId="3" borderId="5" xfId="1" applyFont="1" applyFill="1" applyBorder="1"/>
    <xf numFmtId="10" fontId="0" fillId="3" borderId="5" xfId="3" applyNumberFormat="1" applyFont="1" applyFill="1" applyBorder="1"/>
    <xf numFmtId="10" fontId="0" fillId="3" borderId="7" xfId="0" applyNumberFormat="1" applyFill="1" applyBorder="1"/>
    <xf numFmtId="0" fontId="4" fillId="3" borderId="1" xfId="0" applyFont="1" applyFill="1" applyBorder="1" applyAlignment="1">
      <alignment horizontal="center"/>
    </xf>
    <xf numFmtId="10" fontId="5" fillId="3" borderId="4" xfId="3" applyNumberFormat="1" applyFont="1" applyFill="1" applyBorder="1"/>
    <xf numFmtId="10" fontId="5" fillId="3" borderId="5" xfId="3" applyNumberFormat="1" applyFont="1" applyFill="1" applyBorder="1"/>
    <xf numFmtId="43" fontId="0" fillId="3" borderId="2" xfId="1" applyFont="1" applyFill="1" applyBorder="1" applyAlignment="1"/>
    <xf numFmtId="43" fontId="0" fillId="3" borderId="1" xfId="1" applyFont="1" applyFill="1" applyBorder="1" applyAlignment="1"/>
    <xf numFmtId="44" fontId="0" fillId="3" borderId="1" xfId="2" applyFont="1" applyFill="1" applyBorder="1" applyAlignment="1"/>
    <xf numFmtId="0" fontId="0" fillId="3" borderId="1" xfId="0" applyFill="1" applyBorder="1" applyAlignment="1"/>
    <xf numFmtId="43" fontId="0" fillId="3" borderId="4" xfId="1" applyFont="1" applyFill="1" applyBorder="1" applyAlignment="1"/>
    <xf numFmtId="43" fontId="0" fillId="3" borderId="3" xfId="1" applyFont="1" applyFill="1" applyBorder="1" applyAlignment="1"/>
    <xf numFmtId="44" fontId="0" fillId="3" borderId="0" xfId="2" applyFont="1" applyFill="1" applyBorder="1" applyAlignment="1"/>
    <xf numFmtId="43" fontId="0" fillId="3" borderId="0" xfId="1" applyFont="1" applyFill="1" applyBorder="1" applyAlignment="1"/>
    <xf numFmtId="43" fontId="0" fillId="3" borderId="5" xfId="1" applyFont="1" applyFill="1" applyBorder="1" applyAlignment="1"/>
    <xf numFmtId="10" fontId="0" fillId="3" borderId="3" xfId="3" applyNumberFormat="1" applyFont="1" applyFill="1" applyBorder="1" applyAlignment="1"/>
    <xf numFmtId="10" fontId="0" fillId="3" borderId="0" xfId="3" applyNumberFormat="1" applyFont="1" applyFill="1" applyBorder="1" applyAlignment="1"/>
    <xf numFmtId="10" fontId="0" fillId="3" borderId="5" xfId="3" applyNumberFormat="1" applyFont="1" applyFill="1" applyBorder="1" applyAlignment="1"/>
    <xf numFmtId="10" fontId="0" fillId="3" borderId="11" xfId="3" applyNumberFormat="1" applyFont="1" applyFill="1" applyBorder="1" applyAlignment="1"/>
    <xf numFmtId="10" fontId="0" fillId="3" borderId="6" xfId="3" applyNumberFormat="1" applyFont="1" applyFill="1" applyBorder="1" applyAlignment="1"/>
    <xf numFmtId="10" fontId="0" fillId="3" borderId="7" xfId="3" applyNumberFormat="1" applyFont="1" applyFill="1" applyBorder="1" applyAlignment="1"/>
    <xf numFmtId="44" fontId="0" fillId="3" borderId="13" xfId="0" applyNumberFormat="1" applyFill="1" applyBorder="1"/>
    <xf numFmtId="0" fontId="0" fillId="3" borderId="13" xfId="0" applyFill="1" applyBorder="1"/>
    <xf numFmtId="10" fontId="0" fillId="2" borderId="0" xfId="0" applyNumberFormat="1" applyFill="1"/>
    <xf numFmtId="44" fontId="0" fillId="3" borderId="0" xfId="0" applyNumberFormat="1" applyFill="1" applyBorder="1"/>
    <xf numFmtId="44" fontId="0" fillId="3" borderId="0" xfId="2" applyFont="1" applyFill="1" applyBorder="1"/>
    <xf numFmtId="0" fontId="2" fillId="3" borderId="2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0" fontId="2" fillId="3" borderId="3" xfId="0" applyFont="1" applyFill="1" applyBorder="1" applyAlignment="1">
      <alignment horizontal="right"/>
    </xf>
    <xf numFmtId="44" fontId="0" fillId="3" borderId="3" xfId="2" applyFont="1" applyFill="1" applyBorder="1"/>
    <xf numFmtId="44" fontId="0" fillId="3" borderId="5" xfId="0" applyNumberFormat="1" applyFill="1" applyBorder="1"/>
    <xf numFmtId="44" fontId="0" fillId="3" borderId="14" xfId="0" applyNumberFormat="1" applyFill="1" applyBorder="1"/>
    <xf numFmtId="44" fontId="0" fillId="3" borderId="5" xfId="2" applyFont="1" applyFill="1" applyBorder="1"/>
    <xf numFmtId="44" fontId="0" fillId="3" borderId="7" xfId="2" applyFont="1" applyFill="1" applyBorder="1"/>
    <xf numFmtId="10" fontId="0" fillId="3" borderId="23" xfId="0" applyNumberFormat="1" applyFill="1" applyBorder="1"/>
    <xf numFmtId="44" fontId="0" fillId="3" borderId="25" xfId="2" applyFont="1" applyFill="1" applyBorder="1"/>
    <xf numFmtId="44" fontId="0" fillId="3" borderId="11" xfId="2" applyFont="1" applyFill="1" applyBorder="1"/>
    <xf numFmtId="44" fontId="0" fillId="3" borderId="6" xfId="2" applyFont="1" applyFill="1" applyBorder="1"/>
    <xf numFmtId="9" fontId="0" fillId="2" borderId="0" xfId="3" applyFont="1" applyFill="1"/>
    <xf numFmtId="10" fontId="0" fillId="2" borderId="0" xfId="3" applyNumberFormat="1" applyFont="1" applyFill="1"/>
    <xf numFmtId="9" fontId="0" fillId="2" borderId="0" xfId="0" applyNumberFormat="1" applyFill="1"/>
    <xf numFmtId="1" fontId="0" fillId="2" borderId="0" xfId="0" applyNumberFormat="1" applyFill="1"/>
    <xf numFmtId="44" fontId="0" fillId="2" borderId="0" xfId="0" applyNumberFormat="1" applyFill="1"/>
    <xf numFmtId="0" fontId="0" fillId="3" borderId="23" xfId="0" applyFill="1" applyBorder="1"/>
    <xf numFmtId="43" fontId="5" fillId="3" borderId="10" xfId="1" applyFont="1" applyFill="1" applyBorder="1"/>
    <xf numFmtId="0" fontId="4" fillId="3" borderId="9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44" fontId="0" fillId="3" borderId="1" xfId="2" applyFont="1" applyFill="1" applyBorder="1" applyAlignment="1">
      <alignment horizontal="center"/>
    </xf>
    <xf numFmtId="0" fontId="0" fillId="3" borderId="3" xfId="0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0" fontId="0" fillId="3" borderId="11" xfId="0" applyFill="1" applyBorder="1" applyAlignment="1">
      <alignment horizontal="right"/>
    </xf>
    <xf numFmtId="0" fontId="0" fillId="3" borderId="7" xfId="0" applyFill="1" applyBorder="1" applyAlignment="1">
      <alignment horizontal="right"/>
    </xf>
    <xf numFmtId="0" fontId="2" fillId="3" borderId="8" xfId="0" applyFont="1" applyFill="1" applyBorder="1" applyAlignment="1">
      <alignment horizontal="right"/>
    </xf>
    <xf numFmtId="0" fontId="2" fillId="3" borderId="10" xfId="0" applyFont="1" applyFill="1" applyBorder="1" applyAlignment="1">
      <alignment horizontal="right"/>
    </xf>
    <xf numFmtId="0" fontId="3" fillId="3" borderId="6" xfId="0" applyFont="1" applyFill="1" applyBorder="1" applyAlignment="1">
      <alignment horizontal="center"/>
    </xf>
    <xf numFmtId="0" fontId="0" fillId="3" borderId="2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3" fillId="3" borderId="0" xfId="0" applyFont="1" applyFill="1" applyBorder="1" applyAlignment="1">
      <alignment horizontal="left"/>
    </xf>
  </cellXfs>
  <cellStyles count="5">
    <cellStyle name="Comma" xfId="1" builtinId="3"/>
    <cellStyle name="Currency" xfId="2" builtinId="4"/>
    <cellStyle name="Excel Built-in Normal" xf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66675</xdr:colOff>
          <xdr:row>2</xdr:row>
          <xdr:rowOff>0</xdr:rowOff>
        </xdr:from>
        <xdr:to>
          <xdr:col>9</xdr:col>
          <xdr:colOff>571500</xdr:colOff>
          <xdr:row>3</xdr:row>
          <xdr:rowOff>28575</xdr:rowOff>
        </xdr:to>
        <xdr:sp macro="" textlink="">
          <xdr:nvSpPr>
            <xdr:cNvPr id="1037" name="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Calculate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P38"/>
  <sheetViews>
    <sheetView zoomScale="80" zoomScaleNormal="80" workbookViewId="0"/>
  </sheetViews>
  <sheetFormatPr defaultRowHeight="15" x14ac:dyDescent="0.25"/>
  <cols>
    <col min="1" max="1" width="9.140625" style="1"/>
    <col min="2" max="2" width="4.7109375" style="1" customWidth="1"/>
    <col min="3" max="3" width="35" style="1" bestFit="1" customWidth="1"/>
    <col min="4" max="4" width="12.42578125" style="1" customWidth="1"/>
    <col min="5" max="5" width="5.5703125" style="1" customWidth="1"/>
    <col min="6" max="6" width="24.140625" style="1" customWidth="1"/>
    <col min="7" max="7" width="28.140625" style="1" customWidth="1"/>
    <col min="8" max="8" width="5" style="1" customWidth="1"/>
    <col min="9" max="9" width="9.140625" style="1"/>
    <col min="10" max="10" width="5" style="1" customWidth="1"/>
    <col min="11" max="11" width="19.5703125" style="1" customWidth="1"/>
    <col min="12" max="12" width="12.85546875" style="1" customWidth="1"/>
    <col min="13" max="13" width="9.140625" style="1"/>
    <col min="14" max="14" width="27.85546875" style="1" customWidth="1"/>
    <col min="15" max="15" width="26.85546875" style="1" customWidth="1"/>
    <col min="16" max="16" width="5" style="1" customWidth="1"/>
    <col min="17" max="16384" width="9.140625" style="1"/>
  </cols>
  <sheetData>
    <row r="2" spans="2:16" ht="18.75" x14ac:dyDescent="0.3">
      <c r="B2" s="41"/>
      <c r="C2" s="141" t="s">
        <v>37</v>
      </c>
      <c r="D2" s="141"/>
      <c r="E2" s="141"/>
      <c r="F2" s="141"/>
      <c r="G2" s="141"/>
      <c r="H2" s="42"/>
      <c r="J2" s="41"/>
      <c r="K2" s="141" t="s">
        <v>75</v>
      </c>
      <c r="L2" s="141"/>
      <c r="M2" s="141"/>
      <c r="N2" s="141"/>
      <c r="O2" s="141"/>
      <c r="P2" s="42"/>
    </row>
    <row r="3" spans="2:16" ht="18.75" x14ac:dyDescent="0.3">
      <c r="B3" s="3"/>
      <c r="C3" s="142" t="s">
        <v>2</v>
      </c>
      <c r="D3" s="142"/>
      <c r="E3" s="44"/>
      <c r="F3" s="142" t="s">
        <v>46</v>
      </c>
      <c r="G3" s="142"/>
      <c r="H3" s="4"/>
      <c r="J3" s="90"/>
      <c r="K3" s="142" t="s">
        <v>2</v>
      </c>
      <c r="L3" s="142"/>
      <c r="M3" s="99"/>
      <c r="N3" s="142" t="s">
        <v>46</v>
      </c>
      <c r="O3" s="142"/>
      <c r="P3" s="92"/>
    </row>
    <row r="4" spans="2:16" x14ac:dyDescent="0.25">
      <c r="B4" s="3"/>
      <c r="C4" s="49" t="s">
        <v>38</v>
      </c>
      <c r="D4" s="50">
        <f>90*30</f>
        <v>2700</v>
      </c>
      <c r="E4" s="40"/>
      <c r="F4" s="145"/>
      <c r="G4" s="146"/>
      <c r="H4" s="4"/>
      <c r="J4" s="3"/>
      <c r="K4" s="87" t="s">
        <v>78</v>
      </c>
      <c r="L4" s="100">
        <v>0.05</v>
      </c>
      <c r="M4" s="93"/>
      <c r="N4" s="143" t="s">
        <v>79</v>
      </c>
      <c r="O4" s="144"/>
      <c r="P4" s="4"/>
    </row>
    <row r="5" spans="2:16" x14ac:dyDescent="0.25">
      <c r="B5" s="3"/>
      <c r="C5" s="49" t="s">
        <v>57</v>
      </c>
      <c r="D5" s="51">
        <v>10</v>
      </c>
      <c r="E5" s="40"/>
      <c r="F5" s="145"/>
      <c r="G5" s="146"/>
      <c r="H5" s="4"/>
      <c r="J5" s="3"/>
      <c r="K5" s="89" t="s">
        <v>80</v>
      </c>
      <c r="L5" s="101">
        <v>0.11</v>
      </c>
      <c r="M5" s="93"/>
      <c r="N5" s="147" t="s">
        <v>81</v>
      </c>
      <c r="O5" s="148"/>
      <c r="P5" s="4"/>
    </row>
    <row r="6" spans="2:16" x14ac:dyDescent="0.25">
      <c r="B6" s="3"/>
      <c r="C6" s="49" t="s">
        <v>39</v>
      </c>
      <c r="D6" s="52">
        <v>0.05</v>
      </c>
      <c r="E6" s="40"/>
      <c r="F6" s="145"/>
      <c r="G6" s="146"/>
      <c r="H6" s="4"/>
      <c r="J6" s="3"/>
      <c r="K6" s="139" t="s">
        <v>82</v>
      </c>
      <c r="L6" s="140">
        <v>0.84</v>
      </c>
      <c r="M6" s="93"/>
      <c r="N6" s="145" t="s">
        <v>83</v>
      </c>
      <c r="O6" s="146"/>
      <c r="P6" s="4"/>
    </row>
    <row r="7" spans="2:16" x14ac:dyDescent="0.25">
      <c r="B7" s="3"/>
      <c r="C7" s="49" t="s">
        <v>44</v>
      </c>
      <c r="D7" s="52">
        <v>0.34</v>
      </c>
      <c r="E7" s="40"/>
      <c r="F7" s="145"/>
      <c r="G7" s="146"/>
      <c r="H7" s="4"/>
      <c r="J7" s="33"/>
      <c r="K7" s="77"/>
      <c r="L7" s="77"/>
      <c r="M7" s="77"/>
      <c r="N7" s="77"/>
      <c r="O7" s="77"/>
      <c r="P7" s="34"/>
    </row>
    <row r="8" spans="2:16" x14ac:dyDescent="0.25">
      <c r="B8" s="3"/>
      <c r="C8" s="49" t="s">
        <v>40</v>
      </c>
      <c r="D8" s="53">
        <v>15000</v>
      </c>
      <c r="E8" s="40"/>
      <c r="F8" s="145"/>
      <c r="G8" s="146"/>
      <c r="H8" s="4"/>
    </row>
    <row r="9" spans="2:16" x14ac:dyDescent="0.25">
      <c r="B9" s="3"/>
      <c r="C9" s="47" t="s">
        <v>41</v>
      </c>
      <c r="D9" s="54">
        <v>0.04</v>
      </c>
      <c r="E9" s="40"/>
      <c r="F9" s="143" t="s">
        <v>47</v>
      </c>
      <c r="G9" s="144"/>
      <c r="H9" s="4"/>
      <c r="L9" s="119"/>
    </row>
    <row r="10" spans="2:16" x14ac:dyDescent="0.25">
      <c r="B10" s="3"/>
      <c r="C10" s="48" t="s">
        <v>45</v>
      </c>
      <c r="D10" s="55">
        <v>0</v>
      </c>
      <c r="E10" s="40"/>
      <c r="F10" s="149" t="s">
        <v>48</v>
      </c>
      <c r="G10" s="150"/>
      <c r="H10" s="4"/>
      <c r="K10" s="119"/>
    </row>
    <row r="11" spans="2:16" x14ac:dyDescent="0.25">
      <c r="B11" s="3"/>
      <c r="C11" s="49" t="s">
        <v>42</v>
      </c>
      <c r="D11" s="51">
        <v>0</v>
      </c>
      <c r="E11" s="40"/>
      <c r="F11" s="145" t="s">
        <v>49</v>
      </c>
      <c r="G11" s="146"/>
      <c r="H11" s="4"/>
      <c r="K11" s="119"/>
    </row>
    <row r="12" spans="2:16" x14ac:dyDescent="0.25">
      <c r="B12" s="3"/>
      <c r="C12" s="49" t="s">
        <v>50</v>
      </c>
      <c r="D12" s="53">
        <v>250000</v>
      </c>
      <c r="E12" s="40"/>
      <c r="F12" s="145" t="s">
        <v>51</v>
      </c>
      <c r="G12" s="146"/>
      <c r="H12" s="4"/>
    </row>
    <row r="13" spans="2:16" x14ac:dyDescent="0.25">
      <c r="B13" s="3"/>
      <c r="C13" s="47" t="s">
        <v>43</v>
      </c>
      <c r="D13" s="56">
        <v>0.02</v>
      </c>
      <c r="E13" s="40"/>
      <c r="F13" s="143" t="s">
        <v>47</v>
      </c>
      <c r="G13" s="144"/>
      <c r="H13" s="4"/>
    </row>
    <row r="14" spans="2:16" x14ac:dyDescent="0.25">
      <c r="B14" s="3"/>
      <c r="C14" s="57" t="s">
        <v>52</v>
      </c>
      <c r="D14" s="58">
        <v>0</v>
      </c>
      <c r="E14" s="40"/>
      <c r="F14" s="147" t="s">
        <v>48</v>
      </c>
      <c r="G14" s="148"/>
      <c r="H14" s="4"/>
    </row>
    <row r="15" spans="2:16" x14ac:dyDescent="0.25">
      <c r="B15" s="3"/>
      <c r="C15" s="47" t="s">
        <v>53</v>
      </c>
      <c r="D15" s="59">
        <v>65000</v>
      </c>
      <c r="E15" s="40"/>
      <c r="F15" s="143"/>
      <c r="G15" s="144"/>
      <c r="H15" s="4"/>
    </row>
    <row r="16" spans="2:16" x14ac:dyDescent="0.25">
      <c r="B16" s="3"/>
      <c r="C16" s="48" t="s">
        <v>54</v>
      </c>
      <c r="D16" s="55">
        <v>5000</v>
      </c>
      <c r="E16" s="40"/>
      <c r="F16" s="149" t="s">
        <v>55</v>
      </c>
      <c r="G16" s="150"/>
      <c r="H16" s="4"/>
    </row>
    <row r="17" spans="2:8" x14ac:dyDescent="0.25">
      <c r="B17" s="3"/>
      <c r="C17" s="47" t="s">
        <v>56</v>
      </c>
      <c r="D17" s="62">
        <v>5000</v>
      </c>
      <c r="E17" s="40"/>
      <c r="F17" s="143"/>
      <c r="G17" s="144"/>
      <c r="H17" s="4"/>
    </row>
    <row r="18" spans="2:8" x14ac:dyDescent="0.25">
      <c r="B18" s="3"/>
      <c r="C18" s="45" t="s">
        <v>84</v>
      </c>
      <c r="D18" s="56">
        <v>0.09</v>
      </c>
      <c r="E18" s="40"/>
      <c r="F18" s="143" t="s">
        <v>64</v>
      </c>
      <c r="G18" s="144"/>
      <c r="H18" s="4"/>
    </row>
    <row r="19" spans="2:8" x14ac:dyDescent="0.25">
      <c r="B19" s="3"/>
      <c r="C19" s="60" t="s">
        <v>58</v>
      </c>
      <c r="D19" s="69">
        <f>0.8*D12</f>
        <v>200000</v>
      </c>
      <c r="E19" s="40"/>
      <c r="F19" s="147" t="s">
        <v>65</v>
      </c>
      <c r="G19" s="148"/>
      <c r="H19" s="4"/>
    </row>
    <row r="20" spans="2:8" x14ac:dyDescent="0.25">
      <c r="B20" s="3"/>
      <c r="C20" s="46" t="s">
        <v>63</v>
      </c>
      <c r="D20" s="61">
        <v>31500</v>
      </c>
      <c r="E20" s="40"/>
      <c r="F20" s="149" t="s">
        <v>66</v>
      </c>
      <c r="G20" s="150"/>
      <c r="H20" s="4"/>
    </row>
    <row r="21" spans="2:8" x14ac:dyDescent="0.25">
      <c r="B21" s="3"/>
      <c r="C21" s="49" t="s">
        <v>67</v>
      </c>
      <c r="D21" s="68">
        <v>0.3</v>
      </c>
      <c r="E21" s="40"/>
      <c r="F21" s="149"/>
      <c r="G21" s="150"/>
      <c r="H21" s="4"/>
    </row>
    <row r="22" spans="2:8" x14ac:dyDescent="0.25">
      <c r="B22" s="3"/>
      <c r="C22" s="49" t="s">
        <v>68</v>
      </c>
      <c r="D22" s="53">
        <v>500</v>
      </c>
      <c r="E22" s="40"/>
      <c r="F22" s="145"/>
      <c r="G22" s="146"/>
      <c r="H22" s="4"/>
    </row>
    <row r="23" spans="2:8" x14ac:dyDescent="0.25">
      <c r="B23" s="3"/>
      <c r="C23" s="49" t="s">
        <v>69</v>
      </c>
      <c r="D23" s="70">
        <v>5</v>
      </c>
      <c r="E23" s="40"/>
      <c r="F23" s="145"/>
      <c r="G23" s="146"/>
      <c r="H23" s="4"/>
    </row>
    <row r="24" spans="2:8" x14ac:dyDescent="0.25">
      <c r="B24" s="3"/>
      <c r="C24" s="49" t="s">
        <v>70</v>
      </c>
      <c r="D24" s="51">
        <v>0</v>
      </c>
      <c r="E24" s="40"/>
      <c r="F24" s="145" t="s">
        <v>71</v>
      </c>
      <c r="G24" s="146"/>
      <c r="H24" s="4"/>
    </row>
    <row r="25" spans="2:8" x14ac:dyDescent="0.25">
      <c r="B25" s="3"/>
      <c r="C25" s="47" t="s">
        <v>72</v>
      </c>
      <c r="D25" s="71">
        <v>7</v>
      </c>
      <c r="E25" s="40"/>
      <c r="F25" s="143"/>
      <c r="G25" s="144"/>
      <c r="H25" s="4"/>
    </row>
    <row r="26" spans="2:8" x14ac:dyDescent="0.25">
      <c r="B26" s="3"/>
      <c r="C26" s="49" t="s">
        <v>33</v>
      </c>
      <c r="D26" s="72">
        <v>150000</v>
      </c>
      <c r="E26" s="40"/>
      <c r="F26" s="145" t="s">
        <v>73</v>
      </c>
      <c r="G26" s="146"/>
      <c r="H26" s="4"/>
    </row>
    <row r="27" spans="2:8" x14ac:dyDescent="0.25">
      <c r="B27" s="3"/>
      <c r="C27" s="49" t="s">
        <v>85</v>
      </c>
      <c r="D27" s="52">
        <v>0.12</v>
      </c>
      <c r="E27" s="40"/>
      <c r="F27" s="145"/>
      <c r="G27" s="146"/>
      <c r="H27" s="4"/>
    </row>
    <row r="28" spans="2:8" x14ac:dyDescent="0.25">
      <c r="B28" s="33"/>
      <c r="C28" s="77"/>
      <c r="D28" s="77"/>
      <c r="E28" s="77"/>
      <c r="F28" s="77"/>
      <c r="G28" s="77"/>
      <c r="H28" s="34"/>
    </row>
    <row r="37" spans="11:11" x14ac:dyDescent="0.25">
      <c r="K37" s="119"/>
    </row>
    <row r="38" spans="11:11" x14ac:dyDescent="0.25">
      <c r="K38" s="119"/>
    </row>
  </sheetData>
  <mergeCells count="33">
    <mergeCell ref="F27:G27"/>
    <mergeCell ref="F25:G25"/>
    <mergeCell ref="K2:O2"/>
    <mergeCell ref="K3:L3"/>
    <mergeCell ref="N3:O3"/>
    <mergeCell ref="N4:O4"/>
    <mergeCell ref="N5:O5"/>
    <mergeCell ref="N6:O6"/>
    <mergeCell ref="F10:G10"/>
    <mergeCell ref="F11:G11"/>
    <mergeCell ref="F26:G26"/>
    <mergeCell ref="F13:G13"/>
    <mergeCell ref="F14:G14"/>
    <mergeCell ref="F15:G15"/>
    <mergeCell ref="F23:G23"/>
    <mergeCell ref="F24:G24"/>
    <mergeCell ref="F19:G19"/>
    <mergeCell ref="F20:G20"/>
    <mergeCell ref="F21:G21"/>
    <mergeCell ref="F12:G12"/>
    <mergeCell ref="F22:G22"/>
    <mergeCell ref="F16:G16"/>
    <mergeCell ref="F17:G17"/>
    <mergeCell ref="F18:G18"/>
    <mergeCell ref="C2:G2"/>
    <mergeCell ref="C3:D3"/>
    <mergeCell ref="F3:G3"/>
    <mergeCell ref="F9:G9"/>
    <mergeCell ref="F8:G8"/>
    <mergeCell ref="F7:G7"/>
    <mergeCell ref="F6:G6"/>
    <mergeCell ref="F5:G5"/>
    <mergeCell ref="F4:G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B1:AF63"/>
  <sheetViews>
    <sheetView tabSelected="1" zoomScale="80" zoomScaleNormal="80" workbookViewId="0">
      <selection activeCell="K1" sqref="K1"/>
    </sheetView>
  </sheetViews>
  <sheetFormatPr defaultRowHeight="15" x14ac:dyDescent="0.25"/>
  <cols>
    <col min="1" max="1" width="9.140625" style="2"/>
    <col min="2" max="2" width="9.140625" style="2" customWidth="1"/>
    <col min="3" max="3" width="17.7109375" style="7" customWidth="1"/>
    <col min="4" max="4" width="14.7109375" style="5" customWidth="1"/>
    <col min="5" max="5" width="5" style="5" customWidth="1"/>
    <col min="6" max="6" width="14.7109375" style="5" customWidth="1"/>
    <col min="7" max="7" width="5" style="5" customWidth="1"/>
    <col min="8" max="8" width="14.7109375" style="5" customWidth="1"/>
    <col min="9" max="9" width="5" style="5" customWidth="1"/>
    <col min="10" max="10" width="14.7109375" style="5" customWidth="1"/>
    <col min="11" max="11" width="5" style="2" customWidth="1"/>
    <col min="12" max="12" width="14.7109375" style="2" customWidth="1"/>
    <col min="13" max="13" width="5" style="2" customWidth="1"/>
    <col min="14" max="14" width="14.7109375" style="2" customWidth="1"/>
    <col min="15" max="15" width="5" style="2" customWidth="1"/>
    <col min="16" max="16" width="14.7109375" style="2" customWidth="1"/>
    <col min="17" max="17" width="5" style="2" customWidth="1"/>
    <col min="18" max="18" width="14.7109375" style="2" customWidth="1"/>
    <col min="19" max="19" width="5" style="2" customWidth="1"/>
    <col min="20" max="20" width="14.7109375" style="2" customWidth="1"/>
    <col min="21" max="21" width="5" style="2" customWidth="1"/>
    <col min="22" max="22" width="14.7109375" style="2" customWidth="1"/>
    <col min="23" max="23" width="5" style="2" customWidth="1"/>
    <col min="24" max="24" width="14.7109375" style="2" customWidth="1"/>
    <col min="25" max="25" width="5" style="2" customWidth="1"/>
    <col min="26" max="26" width="14.7109375" style="2" customWidth="1"/>
    <col min="27" max="27" width="5" style="2" customWidth="1"/>
    <col min="28" max="28" width="14.7109375" style="2" customWidth="1"/>
    <col min="29" max="29" width="5" style="2" customWidth="1"/>
    <col min="30" max="30" width="14.7109375" style="2" customWidth="1"/>
    <col min="31" max="31" width="9.140625" style="2" customWidth="1"/>
    <col min="32" max="32" width="14.7109375" style="2" customWidth="1"/>
    <col min="33" max="33" width="5" style="2" customWidth="1"/>
    <col min="34" max="16384" width="9.140625" style="2"/>
  </cols>
  <sheetData>
    <row r="1" spans="2:31" x14ac:dyDescent="0.25"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</row>
    <row r="2" spans="2:31" x14ac:dyDescent="0.25">
      <c r="B2" s="13"/>
      <c r="C2" s="11"/>
      <c r="D2" s="12"/>
      <c r="E2" s="12"/>
      <c r="F2" s="12"/>
      <c r="G2" s="12"/>
      <c r="H2" s="151"/>
      <c r="I2" s="151"/>
      <c r="J2" s="151"/>
      <c r="K2" s="38"/>
      <c r="L2" s="78"/>
      <c r="M2" s="76"/>
      <c r="N2" s="76"/>
      <c r="O2" s="81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15"/>
    </row>
    <row r="3" spans="2:31" ht="15.75" x14ac:dyDescent="0.25">
      <c r="B3" s="14"/>
      <c r="C3" s="43"/>
      <c r="D3" s="43"/>
      <c r="E3" s="43"/>
      <c r="F3" s="86"/>
      <c r="G3" s="86" t="s">
        <v>77</v>
      </c>
      <c r="H3" s="43"/>
      <c r="I3" s="43"/>
      <c r="J3" s="43"/>
      <c r="K3" s="43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16"/>
    </row>
    <row r="4" spans="2:31" ht="15.75" x14ac:dyDescent="0.25">
      <c r="B4" s="14"/>
      <c r="C4" s="26"/>
      <c r="D4" s="43" t="s">
        <v>1</v>
      </c>
      <c r="E4" s="27"/>
      <c r="F4" s="27"/>
      <c r="G4" s="27"/>
      <c r="H4" s="27"/>
      <c r="I4" s="27"/>
      <c r="J4" s="27"/>
      <c r="K4" s="38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16"/>
    </row>
    <row r="5" spans="2:31" x14ac:dyDescent="0.25">
      <c r="B5" s="14"/>
      <c r="C5" s="26"/>
      <c r="D5" s="8">
        <v>2013</v>
      </c>
      <c r="E5" s="9"/>
      <c r="F5" s="8">
        <v>2014</v>
      </c>
      <c r="G5" s="8"/>
      <c r="H5" s="8">
        <v>2015</v>
      </c>
      <c r="I5" s="8"/>
      <c r="J5" s="8">
        <v>2016</v>
      </c>
      <c r="K5" s="39"/>
      <c r="L5" s="8">
        <v>2017</v>
      </c>
      <c r="M5" s="39"/>
      <c r="N5" s="8">
        <v>2018</v>
      </c>
      <c r="O5" s="39"/>
      <c r="P5" s="8">
        <v>2019</v>
      </c>
      <c r="Q5" s="39"/>
      <c r="R5" s="8">
        <v>2020</v>
      </c>
      <c r="S5" s="39"/>
      <c r="T5" s="8">
        <v>2021</v>
      </c>
      <c r="U5" s="39"/>
      <c r="V5" s="8">
        <v>2022</v>
      </c>
      <c r="W5" s="39"/>
      <c r="X5" s="8">
        <v>2023</v>
      </c>
      <c r="Y5" s="39"/>
      <c r="Z5" s="8">
        <v>2024</v>
      </c>
      <c r="AA5" s="39"/>
      <c r="AB5" s="8">
        <v>2025</v>
      </c>
      <c r="AC5" s="39"/>
      <c r="AD5" s="8">
        <v>2026</v>
      </c>
      <c r="AE5" s="16"/>
    </row>
    <row r="6" spans="2:31" x14ac:dyDescent="0.25">
      <c r="B6" s="14"/>
      <c r="C6" s="37" t="s">
        <v>0</v>
      </c>
      <c r="D6" s="28">
        <f>(Assumptions!$D$4*Assumptions!$D$5)*12</f>
        <v>324000</v>
      </c>
      <c r="E6" s="27"/>
      <c r="F6" s="27">
        <f>(D6*Assumptions!$D$6)+D6</f>
        <v>340200</v>
      </c>
      <c r="G6" s="27"/>
      <c r="H6" s="27">
        <f>(F6*Assumptions!$D$6)+F6</f>
        <v>357210</v>
      </c>
      <c r="I6" s="27"/>
      <c r="J6" s="27">
        <f>(H6*Assumptions!$D$6)+H6</f>
        <v>375070.5</v>
      </c>
      <c r="K6" s="38"/>
      <c r="L6" s="27">
        <f>(J6*Assumptions!$D$6)+J6</f>
        <v>393824.02500000002</v>
      </c>
      <c r="M6" s="76"/>
      <c r="N6" s="27">
        <f>(L6*Assumptions!$D$6)+L6</f>
        <v>413515.22625000001</v>
      </c>
      <c r="O6" s="76"/>
      <c r="P6" s="27">
        <f>(N6*Assumptions!$D$6)+N6</f>
        <v>434190.9875625</v>
      </c>
      <c r="Q6" s="76"/>
      <c r="R6" s="27">
        <f>(P6*Assumptions!$D$6)+P6</f>
        <v>455900.536940625</v>
      </c>
      <c r="S6" s="76"/>
      <c r="T6" s="27">
        <f>(R6*Assumptions!$D$6)+R6</f>
        <v>478695.56378765625</v>
      </c>
      <c r="U6" s="76"/>
      <c r="V6" s="27">
        <f>(T6*Assumptions!$D$6)+T6</f>
        <v>502630.34197703906</v>
      </c>
      <c r="W6" s="76"/>
      <c r="X6" s="27">
        <f>(V6*Assumptions!$D$6)+V6</f>
        <v>527761.85907589097</v>
      </c>
      <c r="Y6" s="76"/>
      <c r="Z6" s="27">
        <f>(X6*Assumptions!$D$6)+X6</f>
        <v>554149.95202968549</v>
      </c>
      <c r="AA6" s="76"/>
      <c r="AB6" s="27">
        <f>(Z6*Assumptions!$D$6)+Z6</f>
        <v>581857.44963116979</v>
      </c>
      <c r="AC6" s="76"/>
      <c r="AD6" s="10">
        <f>(AB6*Assumptions!$D$6)+AB6</f>
        <v>610950.32211272826</v>
      </c>
      <c r="AE6" s="16"/>
    </row>
    <row r="7" spans="2:31" x14ac:dyDescent="0.25">
      <c r="B7" s="14"/>
      <c r="C7" s="37" t="s">
        <v>3</v>
      </c>
      <c r="D7" s="19">
        <f>D6*Assumptions!$D$7</f>
        <v>110160.00000000001</v>
      </c>
      <c r="E7" s="27"/>
      <c r="F7" s="20">
        <f>F6*Assumptions!$D$7</f>
        <v>115668.00000000001</v>
      </c>
      <c r="G7" s="27"/>
      <c r="H7" s="20">
        <f>H6*Assumptions!$D$7</f>
        <v>121451.40000000001</v>
      </c>
      <c r="I7" s="27"/>
      <c r="J7" s="20">
        <f>J6*Assumptions!$D$7</f>
        <v>127523.97000000002</v>
      </c>
      <c r="K7" s="38"/>
      <c r="L7" s="20">
        <f>L6*Assumptions!$D$7</f>
        <v>133900.16850000003</v>
      </c>
      <c r="M7" s="38"/>
      <c r="N7" s="20">
        <f>N6*Assumptions!$D$7</f>
        <v>140595.17692500001</v>
      </c>
      <c r="O7" s="38"/>
      <c r="P7" s="20">
        <f>P6*Assumptions!$D$7</f>
        <v>147624.93577125002</v>
      </c>
      <c r="Q7" s="38"/>
      <c r="R7" s="20">
        <f>R6*Assumptions!$D$7</f>
        <v>155006.1825598125</v>
      </c>
      <c r="S7" s="38"/>
      <c r="T7" s="20">
        <f>T6*Assumptions!$D$7</f>
        <v>162756.49168780315</v>
      </c>
      <c r="U7" s="38"/>
      <c r="V7" s="20">
        <f>V6*Assumptions!$D$7</f>
        <v>170894.3162721933</v>
      </c>
      <c r="W7" s="38"/>
      <c r="X7" s="20">
        <f>X6*Assumptions!$D$7</f>
        <v>179439.03208580293</v>
      </c>
      <c r="Y7" s="38"/>
      <c r="Z7" s="20">
        <f>Z6*Assumptions!$D$7</f>
        <v>188410.98369009307</v>
      </c>
      <c r="AA7" s="38"/>
      <c r="AB7" s="20">
        <f>AB6*Assumptions!$D$7</f>
        <v>197831.53287459773</v>
      </c>
      <c r="AC7" s="38"/>
      <c r="AD7" s="21">
        <f>AD6*Assumptions!$D$7</f>
        <v>207723.10951832763</v>
      </c>
      <c r="AE7" s="16"/>
    </row>
    <row r="8" spans="2:31" x14ac:dyDescent="0.25">
      <c r="B8" s="14"/>
      <c r="C8" s="25" t="s">
        <v>4</v>
      </c>
      <c r="D8" s="28">
        <f>D6-D7</f>
        <v>213840</v>
      </c>
      <c r="E8" s="27"/>
      <c r="F8" s="27">
        <f>F6-F7</f>
        <v>224532</v>
      </c>
      <c r="G8" s="27"/>
      <c r="H8" s="27">
        <f>H6-H7</f>
        <v>235758.59999999998</v>
      </c>
      <c r="I8" s="27"/>
      <c r="J8" s="27">
        <f>J6-J7</f>
        <v>247546.52999999997</v>
      </c>
      <c r="K8" s="38"/>
      <c r="L8" s="27">
        <f>L6-L7</f>
        <v>259923.85649999999</v>
      </c>
      <c r="M8" s="38"/>
      <c r="N8" s="27">
        <f>N6-N7</f>
        <v>272920.04932500003</v>
      </c>
      <c r="O8" s="38"/>
      <c r="P8" s="27">
        <f>P6-P7</f>
        <v>286566.05179125001</v>
      </c>
      <c r="Q8" s="38"/>
      <c r="R8" s="27">
        <f>R6-R7</f>
        <v>300894.3543808125</v>
      </c>
      <c r="S8" s="38"/>
      <c r="T8" s="27">
        <f>T6-T7</f>
        <v>315939.07209985307</v>
      </c>
      <c r="U8" s="38"/>
      <c r="V8" s="27">
        <f>V6-V7</f>
        <v>331736.02570484579</v>
      </c>
      <c r="W8" s="38"/>
      <c r="X8" s="27">
        <f>X6-X7</f>
        <v>348322.82699008804</v>
      </c>
      <c r="Y8" s="38"/>
      <c r="Z8" s="27">
        <f>Z6-Z7</f>
        <v>365738.96833959245</v>
      </c>
      <c r="AA8" s="38"/>
      <c r="AB8" s="27">
        <f>AB6-AB7</f>
        <v>384025.91675657209</v>
      </c>
      <c r="AC8" s="38"/>
      <c r="AD8" s="10">
        <f>AD6-AD7</f>
        <v>403227.21259440063</v>
      </c>
      <c r="AE8" s="16"/>
    </row>
    <row r="9" spans="2:31" x14ac:dyDescent="0.25">
      <c r="B9" s="14"/>
      <c r="C9" s="37"/>
      <c r="D9" s="28"/>
      <c r="E9" s="27"/>
      <c r="F9" s="27"/>
      <c r="G9" s="27"/>
      <c r="H9" s="27"/>
      <c r="I9" s="27"/>
      <c r="J9" s="27"/>
      <c r="K9" s="38"/>
      <c r="L9" s="76"/>
      <c r="M9" s="38"/>
      <c r="N9" s="76"/>
      <c r="O9" s="38"/>
      <c r="P9" s="76"/>
      <c r="Q9" s="38"/>
      <c r="R9" s="76"/>
      <c r="S9" s="38"/>
      <c r="T9" s="76"/>
      <c r="U9" s="38"/>
      <c r="V9" s="76"/>
      <c r="W9" s="38"/>
      <c r="X9" s="76"/>
      <c r="Y9" s="38"/>
      <c r="Z9" s="76"/>
      <c r="AA9" s="38"/>
      <c r="AB9" s="76"/>
      <c r="AC9" s="38"/>
      <c r="AD9" s="16"/>
      <c r="AE9" s="16"/>
    </row>
    <row r="10" spans="2:31" x14ac:dyDescent="0.25">
      <c r="B10" s="14"/>
      <c r="C10" s="37" t="s">
        <v>5</v>
      </c>
      <c r="D10" s="28">
        <f>Assumptions!$D$8*12</f>
        <v>180000</v>
      </c>
      <c r="E10" s="27"/>
      <c r="F10" s="27">
        <f>Assumptions!$D$8*12</f>
        <v>180000</v>
      </c>
      <c r="G10" s="27"/>
      <c r="H10" s="27">
        <f>Assumptions!$D$8*12</f>
        <v>180000</v>
      </c>
      <c r="I10" s="27"/>
      <c r="J10" s="27">
        <f>Assumptions!$D$8*12</f>
        <v>180000</v>
      </c>
      <c r="K10" s="38"/>
      <c r="L10" s="27">
        <f>Assumptions!$D$8*12</f>
        <v>180000</v>
      </c>
      <c r="M10" s="38"/>
      <c r="N10" s="27">
        <f>Assumptions!$D$8*12</f>
        <v>180000</v>
      </c>
      <c r="O10" s="38"/>
      <c r="P10" s="27">
        <f>Assumptions!$D$8*12</f>
        <v>180000</v>
      </c>
      <c r="Q10" s="38"/>
      <c r="R10" s="27">
        <f>Assumptions!$D$8*12</f>
        <v>180000</v>
      </c>
      <c r="S10" s="38"/>
      <c r="T10" s="27">
        <f>Assumptions!$D$8*12</f>
        <v>180000</v>
      </c>
      <c r="U10" s="38"/>
      <c r="V10" s="27">
        <f>Assumptions!$D$8*12</f>
        <v>180000</v>
      </c>
      <c r="W10" s="38"/>
      <c r="X10" s="27">
        <f>Assumptions!$D$8*12</f>
        <v>180000</v>
      </c>
      <c r="Y10" s="38"/>
      <c r="Z10" s="27">
        <f>Assumptions!$D$8*12</f>
        <v>180000</v>
      </c>
      <c r="AA10" s="38"/>
      <c r="AB10" s="27">
        <f>Assumptions!$D$8*12</f>
        <v>180000</v>
      </c>
      <c r="AC10" s="38"/>
      <c r="AD10" s="10">
        <f>Assumptions!$D$8*12</f>
        <v>180000</v>
      </c>
      <c r="AE10" s="16"/>
    </row>
    <row r="11" spans="2:31" x14ac:dyDescent="0.25">
      <c r="B11" s="14"/>
      <c r="C11" s="37" t="s">
        <v>6</v>
      </c>
      <c r="D11" s="28">
        <f>IF(Assumptions!$D$9&gt;0,Assumptions!$D$9*'Financial Statements'!D6,Assumptions!$D$10)</f>
        <v>12960</v>
      </c>
      <c r="E11" s="27"/>
      <c r="F11" s="27">
        <f>F6*Assumptions!$D$9</f>
        <v>13608</v>
      </c>
      <c r="G11" s="27"/>
      <c r="H11" s="27">
        <f>H6*Assumptions!$D$9</f>
        <v>14288.4</v>
      </c>
      <c r="I11" s="27"/>
      <c r="J11" s="27">
        <f>J6*Assumptions!$D$9</f>
        <v>15002.82</v>
      </c>
      <c r="K11" s="38"/>
      <c r="L11" s="27">
        <f>L6*Assumptions!$D$9</f>
        <v>15752.961000000001</v>
      </c>
      <c r="M11" s="38"/>
      <c r="N11" s="27">
        <f>N6*Assumptions!$D$9</f>
        <v>16540.609049999999</v>
      </c>
      <c r="O11" s="38"/>
      <c r="P11" s="27">
        <f>P6*Assumptions!$D$9</f>
        <v>17367.639502500002</v>
      </c>
      <c r="Q11" s="38"/>
      <c r="R11" s="27">
        <f>R6*Assumptions!$D$9</f>
        <v>18236.021477625</v>
      </c>
      <c r="S11" s="38"/>
      <c r="T11" s="27">
        <f>T6*Assumptions!$D$9</f>
        <v>19147.822551506251</v>
      </c>
      <c r="U11" s="38"/>
      <c r="V11" s="27">
        <f>V6*Assumptions!$D$9</f>
        <v>20105.213679081564</v>
      </c>
      <c r="W11" s="38"/>
      <c r="X11" s="27">
        <f>X6*Assumptions!$D$9</f>
        <v>21110.474363035639</v>
      </c>
      <c r="Y11" s="38"/>
      <c r="Z11" s="27">
        <f>Z6*Assumptions!$D$9</f>
        <v>22165.998081187419</v>
      </c>
      <c r="AA11" s="38"/>
      <c r="AB11" s="27">
        <f>AB6*Assumptions!$D$9</f>
        <v>23274.297985246791</v>
      </c>
      <c r="AC11" s="38"/>
      <c r="AD11" s="10">
        <f>AD6*Assumptions!$D$9</f>
        <v>24438.012884509131</v>
      </c>
      <c r="AE11" s="16"/>
    </row>
    <row r="12" spans="2:31" x14ac:dyDescent="0.25">
      <c r="B12" s="14"/>
      <c r="C12" s="37" t="s">
        <v>7</v>
      </c>
      <c r="D12" s="28">
        <f>Assumptions!$D$11</f>
        <v>0</v>
      </c>
      <c r="E12" s="27"/>
      <c r="F12" s="27">
        <f>Assumptions!$D$11</f>
        <v>0</v>
      </c>
      <c r="G12" s="27"/>
      <c r="H12" s="27">
        <f>Assumptions!$D$11</f>
        <v>0</v>
      </c>
      <c r="I12" s="27"/>
      <c r="J12" s="27">
        <f>Assumptions!$D$11</f>
        <v>0</v>
      </c>
      <c r="K12" s="38"/>
      <c r="L12" s="27">
        <f>Assumptions!$D$11</f>
        <v>0</v>
      </c>
      <c r="M12" s="38"/>
      <c r="N12" s="27">
        <f>Assumptions!$D$11</f>
        <v>0</v>
      </c>
      <c r="O12" s="38"/>
      <c r="P12" s="27">
        <f>Assumptions!$D$11</f>
        <v>0</v>
      </c>
      <c r="Q12" s="38"/>
      <c r="R12" s="27">
        <f>Assumptions!$D$11</f>
        <v>0</v>
      </c>
      <c r="S12" s="38"/>
      <c r="T12" s="27">
        <f>Assumptions!$D$11</f>
        <v>0</v>
      </c>
      <c r="U12" s="38"/>
      <c r="V12" s="27">
        <f>Assumptions!$D$11</f>
        <v>0</v>
      </c>
      <c r="W12" s="38"/>
      <c r="X12" s="27">
        <f>Assumptions!$D$11</f>
        <v>0</v>
      </c>
      <c r="Y12" s="38"/>
      <c r="Z12" s="27">
        <f>Assumptions!$D$11</f>
        <v>0</v>
      </c>
      <c r="AA12" s="38"/>
      <c r="AB12" s="27">
        <f>Assumptions!$D$11</f>
        <v>0</v>
      </c>
      <c r="AC12" s="38"/>
      <c r="AD12" s="10">
        <f>Assumptions!$D$11</f>
        <v>0</v>
      </c>
      <c r="AE12" s="16"/>
    </row>
    <row r="13" spans="2:31" x14ac:dyDescent="0.25">
      <c r="B13" s="14"/>
      <c r="C13" s="37" t="s">
        <v>8</v>
      </c>
      <c r="D13" s="28">
        <f>IF(Assumptions!$D$13&gt;0,Assumptions!$D$13*'Financial Statements'!D6,Assumptions!$D$14)</f>
        <v>6480</v>
      </c>
      <c r="E13" s="27"/>
      <c r="F13" s="27">
        <f>IF(Assumptions!$D$13&gt;0,Assumptions!$D$13*'Financial Statements'!F6,Assumptions!$D$14)</f>
        <v>6804</v>
      </c>
      <c r="G13" s="27"/>
      <c r="H13" s="27">
        <f>IF(Assumptions!$D$13&gt;0,Assumptions!$D$13*'Financial Statements'!H6,Assumptions!$D$14)</f>
        <v>7144.2</v>
      </c>
      <c r="I13" s="27"/>
      <c r="J13" s="27">
        <f>IF(Assumptions!$D$13&gt;0,Assumptions!$D$13*'Financial Statements'!J6,Assumptions!$D$14)</f>
        <v>7501.41</v>
      </c>
      <c r="K13" s="38"/>
      <c r="L13" s="27">
        <f>IF(Assumptions!$D$13&gt;0,Assumptions!$D$13*'Financial Statements'!L6,Assumptions!$D$14)</f>
        <v>7876.4805000000006</v>
      </c>
      <c r="M13" s="38"/>
      <c r="N13" s="27">
        <f>IF(Assumptions!$D$13&gt;0,Assumptions!$D$13*'Financial Statements'!N6,Assumptions!$D$14)</f>
        <v>8270.3045249999996</v>
      </c>
      <c r="O13" s="38"/>
      <c r="P13" s="27">
        <f>IF(Assumptions!$D$13&gt;0,Assumptions!$D$13*'Financial Statements'!P6,Assumptions!$D$14)</f>
        <v>8683.819751250001</v>
      </c>
      <c r="Q13" s="38"/>
      <c r="R13" s="27">
        <f>IF(Assumptions!$D$13&gt;0,Assumptions!$D$13*'Financial Statements'!R6,Assumptions!$D$14)</f>
        <v>9118.0107388124998</v>
      </c>
      <c r="S13" s="38"/>
      <c r="T13" s="27">
        <f>IF(Assumptions!$D$13&gt;0,Assumptions!$D$13*'Financial Statements'!T6,Assumptions!$D$14)</f>
        <v>9573.9112757531257</v>
      </c>
      <c r="U13" s="38"/>
      <c r="V13" s="27">
        <f>IF(Assumptions!$D$13&gt;0,Assumptions!$D$13*'Financial Statements'!V6,Assumptions!$D$14)</f>
        <v>10052.606839540782</v>
      </c>
      <c r="W13" s="38"/>
      <c r="X13" s="27">
        <f>IF(Assumptions!$D$13&gt;0,Assumptions!$D$13*'Financial Statements'!X6,Assumptions!$D$14)</f>
        <v>10555.237181517819</v>
      </c>
      <c r="Y13" s="38"/>
      <c r="Z13" s="27">
        <f>IF(Assumptions!$D$13&gt;0,Assumptions!$D$13*'Financial Statements'!Z6,Assumptions!$D$14)</f>
        <v>11082.99904059371</v>
      </c>
      <c r="AA13" s="38"/>
      <c r="AB13" s="27">
        <f>IF(Assumptions!$D$13&gt;0,Assumptions!$D$13*'Financial Statements'!AB6,Assumptions!$D$14)</f>
        <v>11637.148992623395</v>
      </c>
      <c r="AC13" s="38"/>
      <c r="AD13" s="10">
        <f>IF(Assumptions!$D$13&gt;0,Assumptions!$D$13*'Financial Statements'!AD6,Assumptions!$D$14)</f>
        <v>12219.006442254566</v>
      </c>
      <c r="AE13" s="16"/>
    </row>
    <row r="14" spans="2:31" x14ac:dyDescent="0.25">
      <c r="B14" s="14"/>
      <c r="C14" s="37" t="s">
        <v>12</v>
      </c>
      <c r="D14" s="28">
        <f>(Assumptions!$D$15-Assumptions!$D$16)/7+(Assumptions!$D$12/30)</f>
        <v>16904.761904761905</v>
      </c>
      <c r="E14" s="27"/>
      <c r="F14" s="27">
        <f>(Assumptions!$D$15-Assumptions!$D$16)/7+(Assumptions!$D$12/30)</f>
        <v>16904.761904761905</v>
      </c>
      <c r="G14" s="27"/>
      <c r="H14" s="27">
        <f>(Assumptions!$D$15-Assumptions!$D$16)/7+(Assumptions!$D$12/30)</f>
        <v>16904.761904761905</v>
      </c>
      <c r="I14" s="27"/>
      <c r="J14" s="27">
        <f>(Assumptions!$D$15-Assumptions!$D$16)/7+(Assumptions!$D$12/30)</f>
        <v>16904.761904761905</v>
      </c>
      <c r="K14" s="38"/>
      <c r="L14" s="27">
        <f>(Assumptions!$D$15-Assumptions!$D$16)/7+(Assumptions!$D$12/30)</f>
        <v>16904.761904761905</v>
      </c>
      <c r="M14" s="38"/>
      <c r="N14" s="27">
        <f>(Assumptions!$D$15-Assumptions!$D$16)/7+(Assumptions!$D$12/30)</f>
        <v>16904.761904761905</v>
      </c>
      <c r="O14" s="38"/>
      <c r="P14" s="27">
        <f>(Assumptions!$D$15-Assumptions!$D$16)/7+(Assumptions!$D$12/30)</f>
        <v>16904.761904761905</v>
      </c>
      <c r="Q14" s="38"/>
      <c r="R14" s="27">
        <f>(Assumptions!$D$15-Assumptions!$D$16)/7+(Assumptions!$D$12/30)</f>
        <v>16904.761904761905</v>
      </c>
      <c r="S14" s="38"/>
      <c r="T14" s="27">
        <f>(Assumptions!$D$15-Assumptions!$D$16)/7+(Assumptions!$D$12/30)</f>
        <v>16904.761904761905</v>
      </c>
      <c r="U14" s="38"/>
      <c r="V14" s="27">
        <f>(Assumptions!$D$15-Assumptions!$D$16)/7+(Assumptions!$D$12/30)</f>
        <v>16904.761904761905</v>
      </c>
      <c r="W14" s="38"/>
      <c r="X14" s="27">
        <f>(Assumptions!$D$15-Assumptions!$D$16)/7+(Assumptions!$D$12/30)</f>
        <v>16904.761904761905</v>
      </c>
      <c r="Y14" s="38"/>
      <c r="Z14" s="27">
        <f>(Assumptions!$D$15-Assumptions!$D$16)/7+(Assumptions!$D$12/30)</f>
        <v>16904.761904761905</v>
      </c>
      <c r="AA14" s="38"/>
      <c r="AB14" s="27">
        <f>(Assumptions!$D$15-Assumptions!$D$16)/7+(Assumptions!$D$12/30)</f>
        <v>16904.761904761905</v>
      </c>
      <c r="AC14" s="38"/>
      <c r="AD14" s="10">
        <f>(Assumptions!$D$15-Assumptions!$D$16)/7+(Assumptions!$D$12/30)</f>
        <v>16904.761904761905</v>
      </c>
      <c r="AE14" s="16"/>
    </row>
    <row r="15" spans="2:31" x14ac:dyDescent="0.25">
      <c r="B15" s="14"/>
      <c r="C15" s="37" t="s">
        <v>9</v>
      </c>
      <c r="D15" s="19">
        <f>Assumptions!$D$17</f>
        <v>5000</v>
      </c>
      <c r="E15" s="27"/>
      <c r="F15" s="20">
        <f>Assumptions!$D$17</f>
        <v>5000</v>
      </c>
      <c r="G15" s="27"/>
      <c r="H15" s="20">
        <f>Assumptions!$D$17</f>
        <v>5000</v>
      </c>
      <c r="I15" s="27"/>
      <c r="J15" s="20">
        <f>Assumptions!$D$17</f>
        <v>5000</v>
      </c>
      <c r="K15" s="38"/>
      <c r="L15" s="20">
        <f>Assumptions!$D$17</f>
        <v>5000</v>
      </c>
      <c r="M15" s="38"/>
      <c r="N15" s="20">
        <f>Assumptions!$D$17</f>
        <v>5000</v>
      </c>
      <c r="O15" s="38"/>
      <c r="P15" s="20">
        <f>Assumptions!$D$17</f>
        <v>5000</v>
      </c>
      <c r="Q15" s="38"/>
      <c r="R15" s="20">
        <f>Assumptions!$D$17</f>
        <v>5000</v>
      </c>
      <c r="S15" s="38"/>
      <c r="T15" s="20">
        <f>Assumptions!$D$17</f>
        <v>5000</v>
      </c>
      <c r="U15" s="38"/>
      <c r="V15" s="20">
        <f>Assumptions!$D$17</f>
        <v>5000</v>
      </c>
      <c r="W15" s="38"/>
      <c r="X15" s="20">
        <f>Assumptions!$D$17</f>
        <v>5000</v>
      </c>
      <c r="Y15" s="38"/>
      <c r="Z15" s="20">
        <f>Assumptions!$D$17</f>
        <v>5000</v>
      </c>
      <c r="AA15" s="38"/>
      <c r="AB15" s="20">
        <f>Assumptions!$D$17</f>
        <v>5000</v>
      </c>
      <c r="AC15" s="38"/>
      <c r="AD15" s="21">
        <f>Assumptions!$D$17</f>
        <v>5000</v>
      </c>
      <c r="AE15" s="16"/>
    </row>
    <row r="16" spans="2:31" x14ac:dyDescent="0.25">
      <c r="B16" s="14"/>
      <c r="C16" s="25" t="s">
        <v>10</v>
      </c>
      <c r="D16" s="29">
        <f>SUM(D10:D15)</f>
        <v>221344.76190476189</v>
      </c>
      <c r="E16" s="27"/>
      <c r="F16" s="22">
        <f>SUM(F10:F15)</f>
        <v>222316.76190476189</v>
      </c>
      <c r="G16" s="27"/>
      <c r="H16" s="22">
        <f>SUM(H10:H15)</f>
        <v>223337.3619047619</v>
      </c>
      <c r="I16" s="27"/>
      <c r="J16" s="22">
        <f>SUM(J10:J15)</f>
        <v>224408.9919047619</v>
      </c>
      <c r="K16" s="38"/>
      <c r="L16" s="22">
        <f>SUM(L10:L15)</f>
        <v>225534.20340476191</v>
      </c>
      <c r="M16" s="38"/>
      <c r="N16" s="22">
        <f>SUM(N10:N15)</f>
        <v>226715.67547976191</v>
      </c>
      <c r="O16" s="38"/>
      <c r="P16" s="22">
        <f>SUM(P10:P15)</f>
        <v>227956.22115851191</v>
      </c>
      <c r="Q16" s="38"/>
      <c r="R16" s="22">
        <f>SUM(R10:R15)</f>
        <v>229258.7941211994</v>
      </c>
      <c r="S16" s="38"/>
      <c r="T16" s="22">
        <f>SUM(T10:T15)</f>
        <v>230626.49573202129</v>
      </c>
      <c r="U16" s="38"/>
      <c r="V16" s="22">
        <f>SUM(V10:V15)</f>
        <v>232062.58242338424</v>
      </c>
      <c r="W16" s="38"/>
      <c r="X16" s="22">
        <f>SUM(X10:X15)</f>
        <v>233570.47344931535</v>
      </c>
      <c r="Y16" s="38"/>
      <c r="Z16" s="22">
        <f>SUM(Z10:Z15)</f>
        <v>235153.75902654303</v>
      </c>
      <c r="AA16" s="38"/>
      <c r="AB16" s="22">
        <f>SUM(AB10:AB15)</f>
        <v>236816.20888263208</v>
      </c>
      <c r="AC16" s="38"/>
      <c r="AD16" s="30">
        <f>SUM(AD10:AD15)</f>
        <v>238561.78123152559</v>
      </c>
      <c r="AE16" s="16"/>
    </row>
    <row r="17" spans="2:32" x14ac:dyDescent="0.25">
      <c r="B17" s="14"/>
      <c r="C17" s="25" t="s">
        <v>11</v>
      </c>
      <c r="D17" s="28">
        <f>D8-D16</f>
        <v>-7504.7619047618937</v>
      </c>
      <c r="E17" s="27"/>
      <c r="F17" s="27">
        <f>F8-F16</f>
        <v>2215.2380952381063</v>
      </c>
      <c r="G17" s="27"/>
      <c r="H17" s="27">
        <f>H8-H16</f>
        <v>12421.238095238077</v>
      </c>
      <c r="I17" s="27"/>
      <c r="J17" s="27">
        <f>J8-J16</f>
        <v>23137.538095238066</v>
      </c>
      <c r="K17" s="38"/>
      <c r="L17" s="27">
        <f>L8-L16</f>
        <v>34389.653095238085</v>
      </c>
      <c r="M17" s="38"/>
      <c r="N17" s="27">
        <f>N8-N16</f>
        <v>46204.373845238122</v>
      </c>
      <c r="O17" s="38"/>
      <c r="P17" s="27">
        <f>P8-P16</f>
        <v>58609.8306327381</v>
      </c>
      <c r="Q17" s="38"/>
      <c r="R17" s="27">
        <f>R8-R16</f>
        <v>71635.560259613092</v>
      </c>
      <c r="S17" s="38"/>
      <c r="T17" s="27">
        <f>T8-T16</f>
        <v>85312.576367831789</v>
      </c>
      <c r="U17" s="38"/>
      <c r="V17" s="27">
        <f>V8-V16</f>
        <v>99673.443281461543</v>
      </c>
      <c r="W17" s="38"/>
      <c r="X17" s="27">
        <f>X8-X16</f>
        <v>114752.35354077269</v>
      </c>
      <c r="Y17" s="38"/>
      <c r="Z17" s="27">
        <f>Z8-Z16</f>
        <v>130585.20931304942</v>
      </c>
      <c r="AA17" s="38"/>
      <c r="AB17" s="27">
        <f>AB8-AB16</f>
        <v>147209.70787394</v>
      </c>
      <c r="AC17" s="38"/>
      <c r="AD17" s="10">
        <f>AD8-AD16</f>
        <v>164665.43136287504</v>
      </c>
      <c r="AE17" s="16"/>
    </row>
    <row r="18" spans="2:32" x14ac:dyDescent="0.25">
      <c r="B18" s="14"/>
      <c r="C18" s="37" t="s">
        <v>13</v>
      </c>
      <c r="D18" s="19">
        <f>'Mortgage Payments'!C6+D44*Assumptions!$D$27</f>
        <v>18000</v>
      </c>
      <c r="E18" s="27"/>
      <c r="F18" s="20">
        <f>'Mortgage Payments'!C7+F44*Assumptions!$D$27</f>
        <v>16785</v>
      </c>
      <c r="G18" s="27"/>
      <c r="H18" s="20">
        <f>'Mortgage Payments'!C8+H44*Assumptions!$D$27</f>
        <v>15662.368636363641</v>
      </c>
      <c r="I18" s="27"/>
      <c r="J18" s="20">
        <f>'Mortgage Payments'!C9+J44*Assumptions!$D$27</f>
        <v>14017.108499999998</v>
      </c>
      <c r="K18" s="38"/>
      <c r="L18" s="20">
        <f>'Mortgage Payments'!C10+L44*Assumptions!$D$27</f>
        <v>12443.648265</v>
      </c>
      <c r="M18" s="38"/>
      <c r="N18" s="20">
        <f>'Mortgage Payments'!C11+N44*Assumptions!$D$27</f>
        <v>10728.576608849999</v>
      </c>
      <c r="O18" s="38"/>
      <c r="P18" s="20">
        <f>'Mortgage Payments'!C12+P44*Assumptions!$D$27</f>
        <v>8859.1485036464983</v>
      </c>
      <c r="Q18" s="38"/>
      <c r="R18" s="20">
        <f>'Mortgage Payments'!C13+R44*Assumptions!$D$27</f>
        <v>6821.4718689746842</v>
      </c>
      <c r="S18" s="38"/>
      <c r="T18" s="20">
        <f>'Mortgage Payments'!C14+T44*Assumptions!$D$27</f>
        <v>4600.4043371824055</v>
      </c>
      <c r="U18" s="38"/>
      <c r="V18" s="20">
        <f>'Mortgage Payments'!C15+V44*Assumptions!$D$27</f>
        <v>2179.4407275288218</v>
      </c>
      <c r="W18" s="38"/>
      <c r="X18" s="20">
        <f>'Mortgage Payments'!C16+X44*Assumptions!$D$27</f>
        <v>0</v>
      </c>
      <c r="Y18" s="38"/>
      <c r="Z18" s="20">
        <f>'Mortgage Payments'!C17+Z44*Assumptions!$D$27</f>
        <v>0</v>
      </c>
      <c r="AA18" s="38"/>
      <c r="AB18" s="20">
        <f>'Mortgage Payments'!C18+AB44*Assumptions!$D$27</f>
        <v>0</v>
      </c>
      <c r="AC18" s="38"/>
      <c r="AD18" s="21">
        <f>'Mortgage Payments'!C19+AD44*Assumptions!$D$27</f>
        <v>68.452326798688091</v>
      </c>
      <c r="AE18" s="16"/>
    </row>
    <row r="19" spans="2:32" x14ac:dyDescent="0.25">
      <c r="B19" s="14"/>
      <c r="C19" s="25" t="s">
        <v>14</v>
      </c>
      <c r="D19" s="28">
        <f>D17-D18</f>
        <v>-25504.761904761894</v>
      </c>
      <c r="E19" s="27"/>
      <c r="F19" s="27">
        <f>F17-F18</f>
        <v>-14569.761904761894</v>
      </c>
      <c r="G19" s="27"/>
      <c r="H19" s="27">
        <f>H17-H18</f>
        <v>-3241.1305411255635</v>
      </c>
      <c r="I19" s="27"/>
      <c r="J19" s="27">
        <f>J17-J18</f>
        <v>9120.4295952380671</v>
      </c>
      <c r="K19" s="38"/>
      <c r="L19" s="27">
        <f>L17-L18</f>
        <v>21946.004830238086</v>
      </c>
      <c r="M19" s="38"/>
      <c r="N19" s="27">
        <f>N17-N18</f>
        <v>35475.797236388127</v>
      </c>
      <c r="O19" s="38"/>
      <c r="P19" s="27">
        <f>P17-P18</f>
        <v>49750.682129091598</v>
      </c>
      <c r="Q19" s="38"/>
      <c r="R19" s="27">
        <f>R17-R18</f>
        <v>64814.088390638412</v>
      </c>
      <c r="S19" s="38"/>
      <c r="T19" s="27">
        <f>T17-T18</f>
        <v>80712.172030649381</v>
      </c>
      <c r="U19" s="38"/>
      <c r="V19" s="27">
        <f>V17-V18</f>
        <v>97494.002553932718</v>
      </c>
      <c r="W19" s="38"/>
      <c r="X19" s="27">
        <f>X17-X18</f>
        <v>114752.35354077269</v>
      </c>
      <c r="Y19" s="38"/>
      <c r="Z19" s="27">
        <f>Z17-Z18</f>
        <v>130585.20931304942</v>
      </c>
      <c r="AA19" s="38"/>
      <c r="AB19" s="27">
        <f>AB17-AB18</f>
        <v>147209.70787394</v>
      </c>
      <c r="AC19" s="38"/>
      <c r="AD19" s="10">
        <f>AD17-AD18</f>
        <v>164596.97903607634</v>
      </c>
      <c r="AE19" s="16"/>
    </row>
    <row r="20" spans="2:32" x14ac:dyDescent="0.25">
      <c r="B20" s="14"/>
      <c r="C20" s="37" t="s">
        <v>15</v>
      </c>
      <c r="D20" s="19">
        <f>IF(D19&lt;0,0,D19*Assumptions!$D$21)</f>
        <v>0</v>
      </c>
      <c r="E20" s="27"/>
      <c r="F20" s="20">
        <f>IF(F19&lt;0,0,F19*Assumptions!$D$21)</f>
        <v>0</v>
      </c>
      <c r="G20" s="27"/>
      <c r="H20" s="20">
        <f>IF(H19&lt;0,0,H19*Assumptions!$D$21)</f>
        <v>0</v>
      </c>
      <c r="I20" s="27"/>
      <c r="J20" s="20">
        <f>IF(J19&lt;0,0,J19*Assumptions!$D$21)</f>
        <v>2736.12887857142</v>
      </c>
      <c r="K20" s="38"/>
      <c r="L20" s="20">
        <f>IF(L19&lt;0,0,L19*Assumptions!$D$21)</f>
        <v>6583.8014490714258</v>
      </c>
      <c r="M20" s="38"/>
      <c r="N20" s="20">
        <f>IF(N19&lt;0,0,N19*Assumptions!$D$21)</f>
        <v>10642.739170916439</v>
      </c>
      <c r="O20" s="38"/>
      <c r="P20" s="20">
        <f>IF(P19&lt;0,0,P19*Assumptions!$D$21)</f>
        <v>14925.204638727479</v>
      </c>
      <c r="Q20" s="38"/>
      <c r="R20" s="20">
        <f>IF(R19&lt;0,0,R19*Assumptions!$D$21)</f>
        <v>19444.226517191524</v>
      </c>
      <c r="S20" s="38"/>
      <c r="T20" s="20">
        <f>IF(T19&lt;0,0,T19*Assumptions!$D$21)</f>
        <v>24213.651609194814</v>
      </c>
      <c r="U20" s="38"/>
      <c r="V20" s="20">
        <f>IF(V19&lt;0,0,V19*Assumptions!$D$21)</f>
        <v>29248.200766179816</v>
      </c>
      <c r="W20" s="38"/>
      <c r="X20" s="20">
        <f>IF(X19&lt;0,0,X19*Assumptions!$D$21)</f>
        <v>34425.706062231802</v>
      </c>
      <c r="Y20" s="38"/>
      <c r="Z20" s="20">
        <f>IF(Z19&lt;0,0,Z19*Assumptions!$D$21)</f>
        <v>39175.562793914825</v>
      </c>
      <c r="AA20" s="38"/>
      <c r="AB20" s="20">
        <f>IF(AB19&lt;0,0,AB19*Assumptions!$D$21)</f>
        <v>44162.912362181996</v>
      </c>
      <c r="AC20" s="38"/>
      <c r="AD20" s="21">
        <f>IF(AD19&lt;0,0,AD19*Assumptions!$D$21)</f>
        <v>49379.093710822905</v>
      </c>
      <c r="AE20" s="16"/>
    </row>
    <row r="21" spans="2:32" ht="15.75" thickBot="1" x14ac:dyDescent="0.3">
      <c r="B21" s="14"/>
      <c r="C21" s="25" t="s">
        <v>16</v>
      </c>
      <c r="D21" s="31">
        <f>D19-D20</f>
        <v>-25504.761904761894</v>
      </c>
      <c r="E21" s="27"/>
      <c r="F21" s="24">
        <f>F19-F20</f>
        <v>-14569.761904761894</v>
      </c>
      <c r="G21" s="27"/>
      <c r="H21" s="24">
        <f>H19-H20</f>
        <v>-3241.1305411255635</v>
      </c>
      <c r="I21" s="27"/>
      <c r="J21" s="24">
        <f>J19-J20</f>
        <v>6384.3007166666466</v>
      </c>
      <c r="K21" s="38"/>
      <c r="L21" s="24">
        <f>L19-L20</f>
        <v>15362.203381166659</v>
      </c>
      <c r="M21" s="38"/>
      <c r="N21" s="24">
        <f>N19-N20</f>
        <v>24833.05806547169</v>
      </c>
      <c r="O21" s="38"/>
      <c r="P21" s="24">
        <f>P19-P20</f>
        <v>34825.477490364123</v>
      </c>
      <c r="Q21" s="38"/>
      <c r="R21" s="24">
        <f>R19-R20</f>
        <v>45369.861873446891</v>
      </c>
      <c r="S21" s="38"/>
      <c r="T21" s="24">
        <f>T19-T20</f>
        <v>56498.520421454567</v>
      </c>
      <c r="U21" s="38"/>
      <c r="V21" s="24">
        <f>V19-V20</f>
        <v>68245.801787752906</v>
      </c>
      <c r="W21" s="38"/>
      <c r="X21" s="24">
        <f>X19-X20</f>
        <v>80326.647478540894</v>
      </c>
      <c r="Y21" s="38"/>
      <c r="Z21" s="24">
        <f>Z19-Z20</f>
        <v>91409.646519134592</v>
      </c>
      <c r="AA21" s="38"/>
      <c r="AB21" s="24">
        <f>AB19-AB20</f>
        <v>103046.79551175801</v>
      </c>
      <c r="AC21" s="38"/>
      <c r="AD21" s="32">
        <f>AD19-AD20</f>
        <v>115217.88532525345</v>
      </c>
      <c r="AE21" s="16"/>
    </row>
    <row r="22" spans="2:32" ht="15.75" thickTop="1" x14ac:dyDescent="0.25">
      <c r="B22" s="14"/>
      <c r="C22" s="26"/>
      <c r="D22" s="18"/>
      <c r="E22" s="6"/>
      <c r="F22" s="6"/>
      <c r="G22" s="6"/>
      <c r="H22" s="6"/>
      <c r="I22" s="6"/>
      <c r="J22" s="6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17"/>
      <c r="AE22" s="16"/>
    </row>
    <row r="23" spans="2:32" x14ac:dyDescent="0.25">
      <c r="B23" s="14"/>
      <c r="C23" s="26"/>
      <c r="D23" s="27"/>
      <c r="E23" s="27"/>
      <c r="F23" s="27"/>
      <c r="G23" s="27"/>
      <c r="H23" s="27"/>
      <c r="I23" s="27"/>
      <c r="J23" s="27"/>
      <c r="K23" s="38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16"/>
    </row>
    <row r="24" spans="2:32" x14ac:dyDescent="0.25">
      <c r="B24" s="14"/>
      <c r="C24" s="73"/>
      <c r="D24" s="27"/>
      <c r="E24" s="27"/>
      <c r="F24" s="27"/>
      <c r="G24" s="27"/>
      <c r="H24" s="27"/>
      <c r="I24" s="27"/>
      <c r="J24" s="27"/>
      <c r="K24" s="38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16"/>
    </row>
    <row r="25" spans="2:32" ht="15.75" x14ac:dyDescent="0.25">
      <c r="B25" s="14"/>
      <c r="C25" s="43"/>
      <c r="D25" s="43" t="s">
        <v>17</v>
      </c>
      <c r="E25" s="43"/>
      <c r="F25" s="43"/>
      <c r="G25" s="43"/>
      <c r="H25" s="43"/>
      <c r="I25" s="43"/>
      <c r="J25" s="43"/>
      <c r="K25" s="43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16"/>
    </row>
    <row r="26" spans="2:32" x14ac:dyDescent="0.25">
      <c r="B26" s="14"/>
      <c r="C26" s="25"/>
      <c r="D26" s="8">
        <v>2012</v>
      </c>
      <c r="E26" s="9"/>
      <c r="F26" s="8">
        <v>2013</v>
      </c>
      <c r="G26" s="8"/>
      <c r="H26" s="8">
        <v>2014</v>
      </c>
      <c r="I26" s="8"/>
      <c r="J26" s="8">
        <v>2015</v>
      </c>
      <c r="K26" s="39"/>
      <c r="L26" s="8">
        <v>2017</v>
      </c>
      <c r="M26" s="39"/>
      <c r="N26" s="8">
        <v>2018</v>
      </c>
      <c r="O26" s="39"/>
      <c r="P26" s="8">
        <v>2019</v>
      </c>
      <c r="Q26" s="39"/>
      <c r="R26" s="8">
        <v>2020</v>
      </c>
      <c r="S26" s="39"/>
      <c r="T26" s="8">
        <v>2021</v>
      </c>
      <c r="U26" s="39"/>
      <c r="V26" s="8">
        <v>2022</v>
      </c>
      <c r="W26" s="39"/>
      <c r="X26" s="8">
        <v>2023</v>
      </c>
      <c r="Y26" s="39"/>
      <c r="Z26" s="8">
        <v>2024</v>
      </c>
      <c r="AA26" s="39"/>
      <c r="AB26" s="8">
        <v>2025</v>
      </c>
      <c r="AC26" s="39"/>
      <c r="AD26" s="8">
        <v>2026</v>
      </c>
      <c r="AE26" s="16"/>
      <c r="AF26" s="75"/>
    </row>
    <row r="27" spans="2:32" x14ac:dyDescent="0.25">
      <c r="B27" s="14"/>
      <c r="C27" s="25" t="s">
        <v>18</v>
      </c>
      <c r="D27" s="28"/>
      <c r="E27" s="27"/>
      <c r="F27" s="27"/>
      <c r="G27" s="27"/>
      <c r="H27" s="27"/>
      <c r="I27" s="27"/>
      <c r="J27" s="27"/>
      <c r="K27" s="38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15"/>
      <c r="AE27" s="16"/>
    </row>
    <row r="28" spans="2:32" x14ac:dyDescent="0.25">
      <c r="B28" s="14"/>
      <c r="C28" s="26" t="s">
        <v>19</v>
      </c>
      <c r="D28" s="28">
        <v>13512</v>
      </c>
      <c r="E28" s="27"/>
      <c r="F28" s="27">
        <v>1162.5999999999767</v>
      </c>
      <c r="G28" s="27"/>
      <c r="H28" s="27">
        <v>500</v>
      </c>
      <c r="I28" s="27"/>
      <c r="J28" s="27">
        <f>7596.76649999997-201.72</f>
        <v>7395.0464999999695</v>
      </c>
      <c r="K28" s="27"/>
      <c r="L28" s="79">
        <f>24690.4759464285-201.72</f>
        <v>24488.7559464285</v>
      </c>
      <c r="M28" s="79"/>
      <c r="N28" s="79">
        <f>49753.0047386071-201.72</f>
        <v>49551.284738607101</v>
      </c>
      <c r="O28" s="79"/>
      <c r="P28" s="79">
        <f>23163.9123210032-201.72</f>
        <v>22962.1923210032</v>
      </c>
      <c r="Q28" s="79"/>
      <c r="R28" s="79">
        <f>65320.0367732539-201.72</f>
        <v>65118.3167732539</v>
      </c>
      <c r="S28" s="79"/>
      <c r="T28" s="79">
        <f>116636.205801589-201.72</f>
        <v>116434.48580158901</v>
      </c>
      <c r="U28" s="79"/>
      <c r="V28" s="79">
        <f>182650.520704015-201.72</f>
        <v>182448.80070401501</v>
      </c>
      <c r="W28" s="79"/>
      <c r="X28" s="79">
        <f>285106.906026779-201.72</f>
        <v>284905.186026779</v>
      </c>
      <c r="Y28" s="79"/>
      <c r="Z28" s="79">
        <f>398221.015357938-201.72</f>
        <v>398019.29535793804</v>
      </c>
      <c r="AA28" s="79"/>
      <c r="AB28" s="79">
        <f>463212.258727083-201.72</f>
        <v>463010.53872708301</v>
      </c>
      <c r="AC28" s="79"/>
      <c r="AD28" s="10">
        <v>600674.49283611483</v>
      </c>
      <c r="AE28" s="16"/>
    </row>
    <row r="29" spans="2:32" x14ac:dyDescent="0.25">
      <c r="B29" s="14"/>
      <c r="C29" s="26" t="s">
        <v>20</v>
      </c>
      <c r="D29" s="19">
        <f>D7*Assumptions!$D$23/360</f>
        <v>1530.0000000000002</v>
      </c>
      <c r="E29" s="27"/>
      <c r="F29" s="20">
        <f>F7*Assumptions!$D$23/360</f>
        <v>1606.5000000000002</v>
      </c>
      <c r="G29" s="27"/>
      <c r="H29" s="20">
        <f>H7*Assumptions!$D$23/360</f>
        <v>1686.825</v>
      </c>
      <c r="I29" s="27"/>
      <c r="J29" s="20">
        <f>J7*Assumptions!$D$23/360</f>
        <v>1771.1662500000002</v>
      </c>
      <c r="K29" s="38"/>
      <c r="L29" s="20">
        <f>L7*Assumptions!$D$23/360</f>
        <v>1859.7245625000005</v>
      </c>
      <c r="M29" s="38"/>
      <c r="N29" s="20">
        <f>N7*Assumptions!$D$23/360</f>
        <v>1952.7107906250001</v>
      </c>
      <c r="O29" s="38"/>
      <c r="P29" s="20">
        <f>P7*Assumptions!$D$23/360</f>
        <v>2050.3463301562506</v>
      </c>
      <c r="Q29" s="38"/>
      <c r="R29" s="20">
        <f>R7*Assumptions!$D$23/360</f>
        <v>2152.8636466640623</v>
      </c>
      <c r="S29" s="38"/>
      <c r="T29" s="20">
        <f>T7*Assumptions!$D$23/360</f>
        <v>2260.506828997266</v>
      </c>
      <c r="U29" s="38"/>
      <c r="V29" s="20">
        <f>V7*Assumptions!$D$23/360</f>
        <v>2373.5321704471294</v>
      </c>
      <c r="W29" s="38"/>
      <c r="X29" s="20">
        <f>X7*Assumptions!$D$23/360</f>
        <v>2492.2087789694851</v>
      </c>
      <c r="Y29" s="38"/>
      <c r="Z29" s="20">
        <f>Z7*Assumptions!$D$23/360</f>
        <v>2616.8192179179591</v>
      </c>
      <c r="AA29" s="38"/>
      <c r="AB29" s="20">
        <f>AB7*Assumptions!$D$23/360</f>
        <v>2747.6601788138573</v>
      </c>
      <c r="AC29" s="38"/>
      <c r="AD29" s="21">
        <f>AD7*Assumptions!$D$23/360</f>
        <v>2885.0431877545507</v>
      </c>
      <c r="AE29" s="16"/>
    </row>
    <row r="30" spans="2:32" x14ac:dyDescent="0.25">
      <c r="B30" s="14"/>
      <c r="C30" s="26" t="s">
        <v>25</v>
      </c>
      <c r="D30" s="28">
        <f>D29+D28</f>
        <v>15042</v>
      </c>
      <c r="E30" s="27"/>
      <c r="F30" s="27">
        <f>F29+F28</f>
        <v>2769.0999999999767</v>
      </c>
      <c r="G30" s="27"/>
      <c r="H30" s="27">
        <f>H29+H28</f>
        <v>2186.8249999999998</v>
      </c>
      <c r="I30" s="27"/>
      <c r="J30" s="27">
        <f>J29+J28</f>
        <v>9166.2127499999697</v>
      </c>
      <c r="K30" s="38"/>
      <c r="L30" s="27">
        <f>L29+L28</f>
        <v>26348.4805089285</v>
      </c>
      <c r="M30" s="38"/>
      <c r="N30" s="27">
        <f>N29+N28</f>
        <v>51503.995529232103</v>
      </c>
      <c r="O30" s="38"/>
      <c r="P30" s="27">
        <f>P29+P28</f>
        <v>25012.538651159452</v>
      </c>
      <c r="Q30" s="38"/>
      <c r="R30" s="27">
        <f>R29+R28</f>
        <v>67271.180419917961</v>
      </c>
      <c r="S30" s="38"/>
      <c r="T30" s="27">
        <f>T29+T28</f>
        <v>118694.99263058628</v>
      </c>
      <c r="U30" s="38"/>
      <c r="V30" s="27">
        <f>V29+V28</f>
        <v>184822.33287446215</v>
      </c>
      <c r="W30" s="38"/>
      <c r="X30" s="27">
        <f>X29+X28</f>
        <v>287397.39480574848</v>
      </c>
      <c r="Y30" s="38"/>
      <c r="Z30" s="27">
        <f>Z29+Z28</f>
        <v>400636.11457585602</v>
      </c>
      <c r="AA30" s="38"/>
      <c r="AB30" s="27">
        <f>AB29+AB28</f>
        <v>465758.19890589686</v>
      </c>
      <c r="AC30" s="38"/>
      <c r="AD30" s="10">
        <f>AD29+AD28</f>
        <v>603559.53602386941</v>
      </c>
      <c r="AE30" s="16"/>
    </row>
    <row r="31" spans="2:32" x14ac:dyDescent="0.25">
      <c r="B31" s="14"/>
      <c r="C31" s="26"/>
      <c r="D31" s="28"/>
      <c r="E31" s="27"/>
      <c r="F31" s="27"/>
      <c r="G31" s="27"/>
      <c r="H31" s="27"/>
      <c r="I31" s="27"/>
      <c r="J31" s="27"/>
      <c r="K31" s="38"/>
      <c r="L31" s="76"/>
      <c r="M31" s="38"/>
      <c r="N31" s="76"/>
      <c r="O31" s="38"/>
      <c r="P31" s="76"/>
      <c r="Q31" s="38"/>
      <c r="R31" s="76"/>
      <c r="S31" s="38"/>
      <c r="T31" s="76"/>
      <c r="U31" s="38"/>
      <c r="V31" s="76"/>
      <c r="W31" s="38"/>
      <c r="X31" s="76"/>
      <c r="Y31" s="38"/>
      <c r="Z31" s="76"/>
      <c r="AA31" s="38"/>
      <c r="AB31" s="76"/>
      <c r="AC31" s="38"/>
      <c r="AD31" s="16"/>
      <c r="AE31" s="16"/>
    </row>
    <row r="32" spans="2:32" x14ac:dyDescent="0.25">
      <c r="B32" s="14"/>
      <c r="C32" s="26" t="s">
        <v>21</v>
      </c>
      <c r="D32" s="28">
        <f>Assumptions!$D$15+Assumptions!$D$12+Assumptions!$D$24</f>
        <v>315000</v>
      </c>
      <c r="E32" s="27"/>
      <c r="F32" s="27">
        <f>Assumptions!$D$15+Assumptions!$D$12+Assumptions!$D$24</f>
        <v>315000</v>
      </c>
      <c r="G32" s="27"/>
      <c r="H32" s="27">
        <f>Assumptions!$D$15+Assumptions!$D$12+Assumptions!$D$24</f>
        <v>315000</v>
      </c>
      <c r="I32" s="27"/>
      <c r="J32" s="27">
        <f>Assumptions!$D$15+Assumptions!$D$12+Assumptions!$D$24</f>
        <v>315000</v>
      </c>
      <c r="K32" s="38"/>
      <c r="L32" s="27">
        <f>Assumptions!$D$15+Assumptions!$D$12+Assumptions!$D$24</f>
        <v>315000</v>
      </c>
      <c r="M32" s="38"/>
      <c r="N32" s="27">
        <f>Assumptions!$D$15+Assumptions!$D$12+Assumptions!$D$24</f>
        <v>315000</v>
      </c>
      <c r="O32" s="38"/>
      <c r="P32" s="27">
        <f>Assumptions!$D$15+Assumptions!$D$12+Assumptions!$D$24</f>
        <v>315000</v>
      </c>
      <c r="Q32" s="38"/>
      <c r="R32" s="27">
        <f>Assumptions!$D$15+Assumptions!$D$12+Assumptions!$D$24</f>
        <v>315000</v>
      </c>
      <c r="S32" s="38"/>
      <c r="T32" s="27">
        <f>Assumptions!$D$15+Assumptions!$D$12+Assumptions!$D$24</f>
        <v>315000</v>
      </c>
      <c r="U32" s="38"/>
      <c r="V32" s="27">
        <f>Assumptions!$D$15+Assumptions!$D$12+Assumptions!$D$24</f>
        <v>315000</v>
      </c>
      <c r="W32" s="38"/>
      <c r="X32" s="27">
        <f>Assumptions!$D$15+Assumptions!$D$12+Assumptions!$D$24</f>
        <v>315000</v>
      </c>
      <c r="Y32" s="38"/>
      <c r="Z32" s="27">
        <f>Assumptions!$D$15+Assumptions!$D$12+Assumptions!$D$24</f>
        <v>315000</v>
      </c>
      <c r="AA32" s="38"/>
      <c r="AB32" s="27">
        <f>Assumptions!$D$15+Assumptions!$D$12+Assumptions!$D$24</f>
        <v>315000</v>
      </c>
      <c r="AC32" s="38"/>
      <c r="AD32" s="10">
        <f>Assumptions!$D$15+Assumptions!$D$12+Assumptions!$D$24</f>
        <v>315000</v>
      </c>
      <c r="AE32" s="16"/>
    </row>
    <row r="33" spans="2:31" x14ac:dyDescent="0.25">
      <c r="B33" s="14"/>
      <c r="C33" s="26" t="s">
        <v>22</v>
      </c>
      <c r="D33" s="19">
        <f>D14</f>
        <v>16904.761904761905</v>
      </c>
      <c r="E33" s="27"/>
      <c r="F33" s="20">
        <f>D33+F14</f>
        <v>33809.523809523809</v>
      </c>
      <c r="G33" s="27"/>
      <c r="H33" s="20">
        <f>F33+H14</f>
        <v>50714.28571428571</v>
      </c>
      <c r="I33" s="27"/>
      <c r="J33" s="20">
        <f>H33+J14</f>
        <v>67619.047619047618</v>
      </c>
      <c r="K33" s="38"/>
      <c r="L33" s="20">
        <f>J33+L14</f>
        <v>84523.809523809527</v>
      </c>
      <c r="M33" s="38"/>
      <c r="N33" s="20">
        <f>L33+N14</f>
        <v>101428.57142857143</v>
      </c>
      <c r="O33" s="38"/>
      <c r="P33" s="20">
        <f>N33+P14-(Assumptions!D15-Assumptions!D16)</f>
        <v>58333.333333333343</v>
      </c>
      <c r="Q33" s="38"/>
      <c r="R33" s="20">
        <f>P33+R14</f>
        <v>75238.095238095251</v>
      </c>
      <c r="S33" s="38"/>
      <c r="T33" s="20">
        <f>R33+T14</f>
        <v>92142.857142857159</v>
      </c>
      <c r="U33" s="38"/>
      <c r="V33" s="20">
        <f>T33+V14</f>
        <v>109047.61904761907</v>
      </c>
      <c r="W33" s="38"/>
      <c r="X33" s="20">
        <f>V33+X14</f>
        <v>125952.38095238098</v>
      </c>
      <c r="Y33" s="38"/>
      <c r="Z33" s="20">
        <f>X33+Z14</f>
        <v>142857.14285714287</v>
      </c>
      <c r="AA33" s="38"/>
      <c r="AB33" s="20">
        <f>Z33+AB14-(Assumptions!D15-Assumptions!D16)</f>
        <v>99761.904761904763</v>
      </c>
      <c r="AC33" s="38"/>
      <c r="AD33" s="21">
        <f>AB33+AD14</f>
        <v>116666.66666666667</v>
      </c>
      <c r="AE33" s="16"/>
    </row>
    <row r="34" spans="2:31" x14ac:dyDescent="0.25">
      <c r="B34" s="14"/>
      <c r="C34" s="26" t="s">
        <v>23</v>
      </c>
      <c r="D34" s="28">
        <f>D32-D33</f>
        <v>298095.23809523811</v>
      </c>
      <c r="E34" s="27"/>
      <c r="F34" s="27">
        <f>F32-F33</f>
        <v>281190.47619047621</v>
      </c>
      <c r="G34" s="27"/>
      <c r="H34" s="27">
        <f>H32-H33</f>
        <v>264285.71428571432</v>
      </c>
      <c r="I34" s="27"/>
      <c r="J34" s="27">
        <f>J32-J33</f>
        <v>247380.95238095237</v>
      </c>
      <c r="K34" s="38"/>
      <c r="L34" s="27">
        <f>L32-L33</f>
        <v>230476.19047619047</v>
      </c>
      <c r="M34" s="38"/>
      <c r="N34" s="27">
        <f>N32-N33</f>
        <v>213571.42857142858</v>
      </c>
      <c r="O34" s="38"/>
      <c r="P34" s="27">
        <f>P32-P33</f>
        <v>256666.66666666666</v>
      </c>
      <c r="Q34" s="38"/>
      <c r="R34" s="27">
        <f>R32-R33</f>
        <v>239761.90476190473</v>
      </c>
      <c r="S34" s="38"/>
      <c r="T34" s="27">
        <f>T32-T33</f>
        <v>222857.14285714284</v>
      </c>
      <c r="U34" s="38"/>
      <c r="V34" s="27">
        <f>V32-V33</f>
        <v>205952.38095238095</v>
      </c>
      <c r="W34" s="38"/>
      <c r="X34" s="27">
        <f>X32-X33</f>
        <v>189047.61904761902</v>
      </c>
      <c r="Y34" s="38"/>
      <c r="Z34" s="27">
        <f>Z32-Z33</f>
        <v>172142.85714285713</v>
      </c>
      <c r="AA34" s="38"/>
      <c r="AB34" s="27">
        <f>AB32-AB33</f>
        <v>215238.09523809524</v>
      </c>
      <c r="AC34" s="38"/>
      <c r="AD34" s="10">
        <f>AD32-AD33</f>
        <v>198333.33333333331</v>
      </c>
      <c r="AE34" s="16"/>
    </row>
    <row r="35" spans="2:31" x14ac:dyDescent="0.25">
      <c r="B35" s="14"/>
      <c r="C35" s="26"/>
      <c r="D35" s="28"/>
      <c r="E35" s="27"/>
      <c r="F35" s="27"/>
      <c r="G35" s="27"/>
      <c r="H35" s="27"/>
      <c r="I35" s="27"/>
      <c r="J35" s="27"/>
      <c r="K35" s="38"/>
      <c r="L35" s="76"/>
      <c r="M35" s="38"/>
      <c r="N35" s="76"/>
      <c r="O35" s="38"/>
      <c r="P35" s="76"/>
      <c r="Q35" s="38"/>
      <c r="R35" s="76"/>
      <c r="S35" s="38"/>
      <c r="T35" s="76"/>
      <c r="U35" s="38"/>
      <c r="V35" s="76"/>
      <c r="W35" s="38"/>
      <c r="X35" s="76"/>
      <c r="Y35" s="38"/>
      <c r="Z35" s="76"/>
      <c r="AA35" s="38"/>
      <c r="AB35" s="76"/>
      <c r="AC35" s="38"/>
      <c r="AD35" s="16"/>
      <c r="AE35" s="16"/>
    </row>
    <row r="36" spans="2:31" ht="15.75" thickBot="1" x14ac:dyDescent="0.3">
      <c r="B36" s="14"/>
      <c r="C36" s="26" t="s">
        <v>24</v>
      </c>
      <c r="D36" s="31">
        <f>D34+D30</f>
        <v>313137.23809523811</v>
      </c>
      <c r="E36" s="27"/>
      <c r="F36" s="23">
        <f>F34+F30</f>
        <v>283959.57619047619</v>
      </c>
      <c r="G36" s="27"/>
      <c r="H36" s="23">
        <f>H34+H30</f>
        <v>266472.53928571433</v>
      </c>
      <c r="I36" s="27"/>
      <c r="J36" s="23">
        <f>J34+J30</f>
        <v>256547.16513095234</v>
      </c>
      <c r="K36" s="38"/>
      <c r="L36" s="23">
        <f>L34+L30</f>
        <v>256824.67098511898</v>
      </c>
      <c r="M36" s="38"/>
      <c r="N36" s="23">
        <f>N34+N30</f>
        <v>265075.42410066066</v>
      </c>
      <c r="O36" s="38"/>
      <c r="P36" s="23">
        <f>P34+P30</f>
        <v>281679.20531782613</v>
      </c>
      <c r="Q36" s="38"/>
      <c r="R36" s="23">
        <f>R34+R30</f>
        <v>307033.08518182271</v>
      </c>
      <c r="S36" s="38"/>
      <c r="T36" s="23">
        <f>T34+T30</f>
        <v>341552.1354877291</v>
      </c>
      <c r="U36" s="38"/>
      <c r="V36" s="23">
        <f>V34+V30</f>
        <v>390774.71382684307</v>
      </c>
      <c r="W36" s="38"/>
      <c r="X36" s="23">
        <f>X34+X30</f>
        <v>476445.01385336753</v>
      </c>
      <c r="Y36" s="38"/>
      <c r="Z36" s="23">
        <f>Z34+Z30</f>
        <v>572778.97171871318</v>
      </c>
      <c r="AA36" s="38"/>
      <c r="AB36" s="23">
        <f>AB34+AB30</f>
        <v>680996.29414399213</v>
      </c>
      <c r="AC36" s="38"/>
      <c r="AD36" s="36">
        <f>AD34+AD30</f>
        <v>801892.86935720267</v>
      </c>
      <c r="AE36" s="16"/>
    </row>
    <row r="37" spans="2:31" ht="15.75" thickTop="1" x14ac:dyDescent="0.25">
      <c r="B37" s="14"/>
      <c r="C37" s="26"/>
      <c r="D37" s="28"/>
      <c r="E37" s="27"/>
      <c r="F37" s="27"/>
      <c r="G37" s="27"/>
      <c r="H37" s="27"/>
      <c r="I37" s="27"/>
      <c r="J37" s="27"/>
      <c r="K37" s="38"/>
      <c r="L37" s="76"/>
      <c r="M37" s="38"/>
      <c r="N37" s="76"/>
      <c r="O37" s="38"/>
      <c r="P37" s="76"/>
      <c r="Q37" s="38"/>
      <c r="R37" s="76"/>
      <c r="S37" s="38"/>
      <c r="T37" s="76"/>
      <c r="U37" s="38"/>
      <c r="V37" s="76"/>
      <c r="W37" s="38"/>
      <c r="X37" s="76"/>
      <c r="Y37" s="38"/>
      <c r="Z37" s="76"/>
      <c r="AA37" s="38"/>
      <c r="AB37" s="76"/>
      <c r="AC37" s="38"/>
      <c r="AD37" s="16"/>
      <c r="AE37" s="16"/>
    </row>
    <row r="38" spans="2:31" x14ac:dyDescent="0.25">
      <c r="B38" s="14"/>
      <c r="C38" s="26"/>
      <c r="D38" s="28"/>
      <c r="E38" s="27"/>
      <c r="F38" s="27"/>
      <c r="G38" s="27"/>
      <c r="H38" s="27"/>
      <c r="I38" s="27"/>
      <c r="J38" s="27"/>
      <c r="K38" s="38"/>
      <c r="L38" s="76"/>
      <c r="M38" s="38"/>
      <c r="N38" s="76"/>
      <c r="O38" s="38"/>
      <c r="P38" s="76"/>
      <c r="Q38" s="38"/>
      <c r="R38" s="76"/>
      <c r="S38" s="38"/>
      <c r="T38" s="76"/>
      <c r="U38" s="38"/>
      <c r="V38" s="76"/>
      <c r="W38" s="38"/>
      <c r="X38" s="76"/>
      <c r="Y38" s="38"/>
      <c r="Z38" s="76"/>
      <c r="AA38" s="38"/>
      <c r="AB38" s="76"/>
      <c r="AC38" s="38"/>
      <c r="AD38" s="16"/>
      <c r="AE38" s="16"/>
    </row>
    <row r="39" spans="2:31" x14ac:dyDescent="0.25">
      <c r="B39" s="14"/>
      <c r="C39" s="25" t="s">
        <v>26</v>
      </c>
      <c r="D39" s="28"/>
      <c r="E39" s="27"/>
      <c r="F39" s="27"/>
      <c r="G39" s="27"/>
      <c r="H39" s="27"/>
      <c r="I39" s="27"/>
      <c r="J39" s="27"/>
      <c r="K39" s="38"/>
      <c r="L39" s="76"/>
      <c r="M39" s="38"/>
      <c r="N39" s="76"/>
      <c r="O39" s="38"/>
      <c r="P39" s="76"/>
      <c r="Q39" s="38"/>
      <c r="R39" s="76"/>
      <c r="S39" s="38"/>
      <c r="T39" s="76"/>
      <c r="U39" s="38"/>
      <c r="V39" s="76"/>
      <c r="W39" s="38"/>
      <c r="X39" s="76"/>
      <c r="Y39" s="38"/>
      <c r="Z39" s="76"/>
      <c r="AA39" s="38"/>
      <c r="AB39" s="76"/>
      <c r="AC39" s="38"/>
      <c r="AD39" s="16"/>
      <c r="AE39" s="16"/>
    </row>
    <row r="40" spans="2:31" x14ac:dyDescent="0.25">
      <c r="B40" s="14"/>
      <c r="C40" s="26" t="s">
        <v>27</v>
      </c>
      <c r="D40" s="28">
        <f>D7*Assumptions!$D$25/360</f>
        <v>2142.0000000000005</v>
      </c>
      <c r="E40" s="27"/>
      <c r="F40" s="27">
        <f>F7*Assumptions!$D$25/360</f>
        <v>2249.1000000000004</v>
      </c>
      <c r="G40" s="27"/>
      <c r="H40" s="27">
        <f>H7*Assumptions!$D$25/360</f>
        <v>2361.5550000000003</v>
      </c>
      <c r="I40" s="27"/>
      <c r="J40" s="27">
        <f>J7*Assumptions!$D$25/360</f>
        <v>2479.6327500000002</v>
      </c>
      <c r="K40" s="38"/>
      <c r="L40" s="27">
        <f>L7*Assumptions!$D$25/360</f>
        <v>2603.6143875000007</v>
      </c>
      <c r="M40" s="38"/>
      <c r="N40" s="27">
        <f>N7*Assumptions!$D$25/360</f>
        <v>2733.7951068749999</v>
      </c>
      <c r="O40" s="38"/>
      <c r="P40" s="27">
        <f>P7*Assumptions!$D$25/360</f>
        <v>2870.4848622187501</v>
      </c>
      <c r="Q40" s="38"/>
      <c r="R40" s="27">
        <f>R7*Assumptions!$D$25/360</f>
        <v>3014.0091053296878</v>
      </c>
      <c r="S40" s="38"/>
      <c r="T40" s="27">
        <f>T7*Assumptions!$D$25/360</f>
        <v>3164.7095605961727</v>
      </c>
      <c r="U40" s="38"/>
      <c r="V40" s="27">
        <f>V7*Assumptions!$D$25/360</f>
        <v>3322.9450386259809</v>
      </c>
      <c r="W40" s="38"/>
      <c r="X40" s="27">
        <f>X7*Assumptions!$D$25/360</f>
        <v>3489.0922905572793</v>
      </c>
      <c r="Y40" s="38"/>
      <c r="Z40" s="27">
        <f>Z7*Assumptions!$D$25/360</f>
        <v>3663.546905085143</v>
      </c>
      <c r="AA40" s="38"/>
      <c r="AB40" s="27">
        <f>AB7*Assumptions!$D$25/360</f>
        <v>3846.7242503394004</v>
      </c>
      <c r="AC40" s="38"/>
      <c r="AD40" s="10">
        <f>AD7*Assumptions!$D$25/360</f>
        <v>4039.0604628563701</v>
      </c>
      <c r="AE40" s="16"/>
    </row>
    <row r="41" spans="2:31" x14ac:dyDescent="0.25">
      <c r="B41" s="14"/>
      <c r="C41" s="26" t="s">
        <v>28</v>
      </c>
      <c r="D41" s="19">
        <f>D20</f>
        <v>0</v>
      </c>
      <c r="E41" s="27"/>
      <c r="F41" s="20">
        <f>F20</f>
        <v>0</v>
      </c>
      <c r="G41" s="27"/>
      <c r="H41" s="20">
        <f>H20</f>
        <v>0</v>
      </c>
      <c r="I41" s="27"/>
      <c r="J41" s="20">
        <f>J20</f>
        <v>2736.12887857142</v>
      </c>
      <c r="K41" s="38"/>
      <c r="L41" s="20">
        <f>L20</f>
        <v>6583.8014490714258</v>
      </c>
      <c r="M41" s="38"/>
      <c r="N41" s="20">
        <f>N20</f>
        <v>10642.739170916439</v>
      </c>
      <c r="O41" s="38"/>
      <c r="P41" s="20">
        <f>P20</f>
        <v>14925.204638727479</v>
      </c>
      <c r="Q41" s="38"/>
      <c r="R41" s="20">
        <f>R20</f>
        <v>19444.226517191524</v>
      </c>
      <c r="S41" s="38"/>
      <c r="T41" s="20">
        <f>T20</f>
        <v>24213.651609194814</v>
      </c>
      <c r="U41" s="38"/>
      <c r="V41" s="20">
        <f>V20</f>
        <v>29248.200766179816</v>
      </c>
      <c r="W41" s="38"/>
      <c r="X41" s="20">
        <f>X20</f>
        <v>34425.706062231802</v>
      </c>
      <c r="Y41" s="38"/>
      <c r="Z41" s="20">
        <f>Z20</f>
        <v>39175.562793914825</v>
      </c>
      <c r="AA41" s="38"/>
      <c r="AB41" s="20">
        <f>AB20</f>
        <v>44162.912362181996</v>
      </c>
      <c r="AC41" s="38"/>
      <c r="AD41" s="21">
        <f>AD20</f>
        <v>49379.093710822905</v>
      </c>
      <c r="AE41" s="16"/>
    </row>
    <row r="42" spans="2:31" x14ac:dyDescent="0.25">
      <c r="B42" s="14"/>
      <c r="C42" s="26" t="s">
        <v>29</v>
      </c>
      <c r="D42" s="28">
        <f>D41+D40</f>
        <v>2142.0000000000005</v>
      </c>
      <c r="E42" s="27"/>
      <c r="F42" s="27">
        <f>F41+F40</f>
        <v>2249.1000000000004</v>
      </c>
      <c r="G42" s="27"/>
      <c r="H42" s="27">
        <f>H41+H40</f>
        <v>2361.5550000000003</v>
      </c>
      <c r="I42" s="27"/>
      <c r="J42" s="27">
        <f>J41+J40</f>
        <v>5215.7616285714203</v>
      </c>
      <c r="K42" s="38"/>
      <c r="L42" s="27">
        <f>L41+L40</f>
        <v>9187.4158365714266</v>
      </c>
      <c r="M42" s="38"/>
      <c r="N42" s="27">
        <f>N41+N40</f>
        <v>13376.534277791437</v>
      </c>
      <c r="O42" s="38"/>
      <c r="P42" s="27">
        <f>P41+P40</f>
        <v>17795.689500946228</v>
      </c>
      <c r="Q42" s="38"/>
      <c r="R42" s="27">
        <f>R41+R40</f>
        <v>22458.235622521213</v>
      </c>
      <c r="S42" s="38"/>
      <c r="T42" s="27">
        <f>T41+T40</f>
        <v>27378.361169790987</v>
      </c>
      <c r="U42" s="38"/>
      <c r="V42" s="27">
        <f>V41+V40</f>
        <v>32571.145804805798</v>
      </c>
      <c r="W42" s="38"/>
      <c r="X42" s="27">
        <f>X41+X40</f>
        <v>37914.798352789083</v>
      </c>
      <c r="Y42" s="38"/>
      <c r="Z42" s="27">
        <f>Z41+Z40</f>
        <v>42839.109698999971</v>
      </c>
      <c r="AA42" s="38"/>
      <c r="AB42" s="27">
        <f>AB41+AB40</f>
        <v>48009.636612521397</v>
      </c>
      <c r="AC42" s="38"/>
      <c r="AD42" s="10">
        <f>AD41+AD40</f>
        <v>53418.154173679271</v>
      </c>
      <c r="AE42" s="16"/>
    </row>
    <row r="43" spans="2:31" x14ac:dyDescent="0.25">
      <c r="B43" s="14"/>
      <c r="C43" s="26"/>
      <c r="D43" s="28"/>
      <c r="E43" s="27"/>
      <c r="F43" s="27"/>
      <c r="G43" s="27"/>
      <c r="H43" s="27"/>
      <c r="I43" s="27"/>
      <c r="J43" s="27"/>
      <c r="K43" s="38"/>
      <c r="L43" s="76"/>
      <c r="M43" s="38"/>
      <c r="N43" s="76"/>
      <c r="O43" s="38"/>
      <c r="P43" s="76"/>
      <c r="Q43" s="38"/>
      <c r="R43" s="76"/>
      <c r="S43" s="38"/>
      <c r="T43" s="76"/>
      <c r="U43" s="38"/>
      <c r="V43" s="76"/>
      <c r="W43" s="38"/>
      <c r="X43" s="76"/>
      <c r="Y43" s="38"/>
      <c r="Z43" s="76"/>
      <c r="AA43" s="38"/>
      <c r="AB43" s="76"/>
      <c r="AC43" s="38"/>
      <c r="AD43" s="16"/>
      <c r="AE43" s="16"/>
    </row>
    <row r="44" spans="2:31" x14ac:dyDescent="0.25">
      <c r="B44" s="14"/>
      <c r="C44" s="26" t="s">
        <v>36</v>
      </c>
      <c r="D44" s="28">
        <v>0</v>
      </c>
      <c r="E44" s="27"/>
      <c r="F44" s="27">
        <v>0</v>
      </c>
      <c r="G44" s="27"/>
      <c r="H44" s="27">
        <v>1680.9886363636804</v>
      </c>
      <c r="I44" s="27"/>
      <c r="J44" s="27">
        <v>0</v>
      </c>
      <c r="K44" s="27"/>
      <c r="L44" s="79">
        <v>0</v>
      </c>
      <c r="M44" s="27"/>
      <c r="N44" s="79">
        <v>0</v>
      </c>
      <c r="O44" s="27"/>
      <c r="P44" s="79">
        <v>0</v>
      </c>
      <c r="Q44" s="27"/>
      <c r="R44" s="79">
        <v>0</v>
      </c>
      <c r="S44" s="27"/>
      <c r="T44" s="79">
        <v>0</v>
      </c>
      <c r="U44" s="27"/>
      <c r="V44" s="79">
        <v>0</v>
      </c>
      <c r="W44" s="27"/>
      <c r="X44" s="79">
        <v>0</v>
      </c>
      <c r="Y44" s="27"/>
      <c r="Z44" s="79">
        <v>0</v>
      </c>
      <c r="AA44" s="27"/>
      <c r="AB44" s="79">
        <v>0</v>
      </c>
      <c r="AC44" s="27"/>
      <c r="AD44" s="10">
        <v>570.43605665573409</v>
      </c>
      <c r="AE44" s="16"/>
    </row>
    <row r="45" spans="2:31" x14ac:dyDescent="0.25">
      <c r="B45" s="14"/>
      <c r="C45" s="26" t="s">
        <v>30</v>
      </c>
      <c r="D45" s="28">
        <f>'Mortgage Payments'!E6</f>
        <v>186500</v>
      </c>
      <c r="E45" s="27"/>
      <c r="F45" s="27">
        <f>IF('Mortgage Payments'!E7&lt;0,0,'Mortgage Payments'!E7)</f>
        <v>171785</v>
      </c>
      <c r="G45" s="27"/>
      <c r="H45" s="27">
        <f>IF('Mortgage Payments'!E8&lt;0,0,'Mortgage Payments'!E8)</f>
        <v>155745.65</v>
      </c>
      <c r="I45" s="27"/>
      <c r="J45" s="27">
        <f>IF('Mortgage Payments'!E9&lt;0,0,'Mortgage Payments'!E9)</f>
        <v>138262.7585</v>
      </c>
      <c r="K45" s="38"/>
      <c r="L45" s="27">
        <f>IF('Mortgage Payments'!E10&lt;0,0,'Mortgage Payments'!E10)</f>
        <v>119206.40676499999</v>
      </c>
      <c r="M45" s="38"/>
      <c r="N45" s="27">
        <f>IF('Mortgage Payments'!E11&lt;0,0,'Mortgage Payments'!E11)</f>
        <v>98434.983373849987</v>
      </c>
      <c r="O45" s="38"/>
      <c r="P45" s="27">
        <f>IF('Mortgage Payments'!E12&lt;0,0,'Mortgage Payments'!E12)</f>
        <v>75794.131877496489</v>
      </c>
      <c r="Q45" s="38"/>
      <c r="R45" s="27">
        <f>IF('Mortgage Payments'!E13&lt;0,0,'Mortgage Payments'!E13)</f>
        <v>51115.60374647117</v>
      </c>
      <c r="S45" s="38"/>
      <c r="T45" s="27">
        <f>IF('Mortgage Payments'!E14&lt;0,0,'Mortgage Payments'!E14)</f>
        <v>24216.008083653574</v>
      </c>
      <c r="U45" s="38"/>
      <c r="V45" s="27">
        <f>IF('Mortgage Payments'!E15&lt;0,0,'Mortgage Payments'!E15)</f>
        <v>0</v>
      </c>
      <c r="W45" s="38"/>
      <c r="X45" s="27">
        <f>IF('Mortgage Payments'!E16&lt;0,0,'Mortgage Payments'!E16)</f>
        <v>0</v>
      </c>
      <c r="Y45" s="38"/>
      <c r="Z45" s="27">
        <f>IF('Mortgage Payments'!E17&lt;0,0,'Mortgage Payments'!E17)</f>
        <v>0</v>
      </c>
      <c r="AA45" s="38"/>
      <c r="AB45" s="27">
        <f>IF('Mortgage Payments'!E18&lt;0,0,'Mortgage Payments'!E18)</f>
        <v>0</v>
      </c>
      <c r="AC45" s="38"/>
      <c r="AD45" s="10">
        <f>IF('Mortgage Payments'!E19&lt;0,0,'Mortgage Payments'!E19)</f>
        <v>0</v>
      </c>
      <c r="AE45" s="16"/>
    </row>
    <row r="46" spans="2:31" x14ac:dyDescent="0.25">
      <c r="B46" s="14"/>
      <c r="C46" s="26"/>
      <c r="D46" s="28"/>
      <c r="E46" s="27"/>
      <c r="F46" s="27"/>
      <c r="G46" s="27"/>
      <c r="H46" s="27"/>
      <c r="I46" s="27"/>
      <c r="J46" s="27"/>
      <c r="K46" s="38"/>
      <c r="L46" s="76"/>
      <c r="M46" s="38"/>
      <c r="N46" s="76"/>
      <c r="O46" s="38"/>
      <c r="P46" s="76"/>
      <c r="Q46" s="38"/>
      <c r="R46" s="76"/>
      <c r="S46" s="38"/>
      <c r="T46" s="76"/>
      <c r="U46" s="38"/>
      <c r="V46" s="76"/>
      <c r="W46" s="38"/>
      <c r="X46" s="76"/>
      <c r="Y46" s="38"/>
      <c r="Z46" s="76"/>
      <c r="AA46" s="38"/>
      <c r="AB46" s="76"/>
      <c r="AC46" s="38"/>
      <c r="AD46" s="16"/>
      <c r="AE46" s="16"/>
    </row>
    <row r="47" spans="2:31" x14ac:dyDescent="0.25">
      <c r="B47" s="14"/>
      <c r="C47" s="26" t="s">
        <v>31</v>
      </c>
      <c r="D47" s="28">
        <f>D45+D42+D44</f>
        <v>188642</v>
      </c>
      <c r="E47" s="27"/>
      <c r="F47" s="27">
        <f>F45+F42+F44</f>
        <v>174034.1</v>
      </c>
      <c r="G47" s="27"/>
      <c r="H47" s="27">
        <f>H45+H42+H44</f>
        <v>159788.19363636366</v>
      </c>
      <c r="I47" s="27"/>
      <c r="J47" s="27">
        <f>J45+J42+J44</f>
        <v>143478.52012857143</v>
      </c>
      <c r="K47" s="38"/>
      <c r="L47" s="27">
        <f>L45+L42+L44</f>
        <v>128393.82260157142</v>
      </c>
      <c r="M47" s="38"/>
      <c r="N47" s="27">
        <f>N45+N42+N44</f>
        <v>111811.51765164142</v>
      </c>
      <c r="O47" s="38"/>
      <c r="P47" s="27">
        <f>P45+P42+P44</f>
        <v>93589.821378442721</v>
      </c>
      <c r="Q47" s="38"/>
      <c r="R47" s="27">
        <f>R45+R42+R44</f>
        <v>73573.839368992383</v>
      </c>
      <c r="S47" s="38"/>
      <c r="T47" s="27">
        <f>T45+T42+T44</f>
        <v>51594.369253444558</v>
      </c>
      <c r="U47" s="38"/>
      <c r="V47" s="27">
        <f>V45+V42+V44</f>
        <v>32571.145804805798</v>
      </c>
      <c r="W47" s="38"/>
      <c r="X47" s="27">
        <f>X45+X42+X44</f>
        <v>37914.798352789083</v>
      </c>
      <c r="Y47" s="38"/>
      <c r="Z47" s="27">
        <f>Z45+Z42+Z44</f>
        <v>42839.109698999971</v>
      </c>
      <c r="AA47" s="38"/>
      <c r="AB47" s="27">
        <f>AB45+AB42+AB44</f>
        <v>48009.636612521397</v>
      </c>
      <c r="AC47" s="38"/>
      <c r="AD47" s="10">
        <f>AD45+AD42+AD44</f>
        <v>53988.590230335009</v>
      </c>
      <c r="AE47" s="16"/>
    </row>
    <row r="48" spans="2:31" x14ac:dyDescent="0.25">
      <c r="B48" s="14"/>
      <c r="C48" s="26"/>
      <c r="D48" s="28"/>
      <c r="E48" s="27"/>
      <c r="F48" s="27"/>
      <c r="G48" s="27"/>
      <c r="H48" s="27"/>
      <c r="I48" s="27"/>
      <c r="J48" s="27"/>
      <c r="K48" s="38"/>
      <c r="L48" s="76"/>
      <c r="M48" s="38"/>
      <c r="N48" s="76"/>
      <c r="O48" s="38"/>
      <c r="P48" s="76"/>
      <c r="Q48" s="38"/>
      <c r="R48" s="76"/>
      <c r="S48" s="38"/>
      <c r="T48" s="76"/>
      <c r="U48" s="38"/>
      <c r="V48" s="76"/>
      <c r="W48" s="38"/>
      <c r="X48" s="76"/>
      <c r="Y48" s="38"/>
      <c r="Z48" s="76"/>
      <c r="AA48" s="38"/>
      <c r="AB48" s="76"/>
      <c r="AC48" s="38"/>
      <c r="AD48" s="16"/>
      <c r="AE48" s="16"/>
    </row>
    <row r="49" spans="2:31" x14ac:dyDescent="0.25">
      <c r="B49" s="14"/>
      <c r="C49" s="25" t="s">
        <v>32</v>
      </c>
      <c r="D49" s="28"/>
      <c r="E49" s="27"/>
      <c r="F49" s="27"/>
      <c r="G49" s="27"/>
      <c r="H49" s="27"/>
      <c r="I49" s="27"/>
      <c r="J49" s="27"/>
      <c r="K49" s="38"/>
      <c r="L49" s="76"/>
      <c r="M49" s="38"/>
      <c r="N49" s="76"/>
      <c r="O49" s="38"/>
      <c r="P49" s="76"/>
      <c r="Q49" s="38"/>
      <c r="R49" s="76"/>
      <c r="S49" s="38"/>
      <c r="T49" s="76"/>
      <c r="U49" s="38"/>
      <c r="V49" s="76"/>
      <c r="W49" s="38"/>
      <c r="X49" s="76"/>
      <c r="Y49" s="38"/>
      <c r="Z49" s="76"/>
      <c r="AA49" s="38"/>
      <c r="AB49" s="76"/>
      <c r="AC49" s="38"/>
      <c r="AD49" s="16"/>
      <c r="AE49" s="16"/>
    </row>
    <row r="50" spans="2:31" x14ac:dyDescent="0.25">
      <c r="B50" s="14"/>
      <c r="C50" s="26" t="s">
        <v>33</v>
      </c>
      <c r="D50" s="28">
        <f>Assumptions!$D$26</f>
        <v>150000</v>
      </c>
      <c r="E50" s="27"/>
      <c r="F50" s="27">
        <f>Assumptions!$D$26</f>
        <v>150000</v>
      </c>
      <c r="G50" s="27"/>
      <c r="H50" s="27">
        <f>Assumptions!$D$26</f>
        <v>150000</v>
      </c>
      <c r="I50" s="27"/>
      <c r="J50" s="27">
        <f>Assumptions!$D$26</f>
        <v>150000</v>
      </c>
      <c r="K50" s="38"/>
      <c r="L50" s="27">
        <f>Assumptions!$D$26</f>
        <v>150000</v>
      </c>
      <c r="M50" s="38"/>
      <c r="N50" s="27">
        <f>Assumptions!$D$26</f>
        <v>150000</v>
      </c>
      <c r="O50" s="38"/>
      <c r="P50" s="27">
        <f>Assumptions!$D$26</f>
        <v>150000</v>
      </c>
      <c r="Q50" s="38"/>
      <c r="R50" s="27">
        <f>Assumptions!$D$26</f>
        <v>150000</v>
      </c>
      <c r="S50" s="38"/>
      <c r="T50" s="27">
        <f>Assumptions!$D$26</f>
        <v>150000</v>
      </c>
      <c r="U50" s="38"/>
      <c r="V50" s="27">
        <f>Assumptions!$D$26</f>
        <v>150000</v>
      </c>
      <c r="W50" s="38"/>
      <c r="X50" s="27">
        <f>Assumptions!$D$26</f>
        <v>150000</v>
      </c>
      <c r="Y50" s="38"/>
      <c r="Z50" s="27">
        <f>Assumptions!$D$26</f>
        <v>150000</v>
      </c>
      <c r="AA50" s="38"/>
      <c r="AB50" s="27">
        <f>Assumptions!$D$26</f>
        <v>150000</v>
      </c>
      <c r="AC50" s="38"/>
      <c r="AD50" s="10">
        <f>Assumptions!$D$26</f>
        <v>150000</v>
      </c>
      <c r="AE50" s="16"/>
    </row>
    <row r="51" spans="2:31" x14ac:dyDescent="0.25">
      <c r="B51" s="14"/>
      <c r="C51" s="26" t="s">
        <v>34</v>
      </c>
      <c r="D51" s="28">
        <f>D21</f>
        <v>-25504.761904761894</v>
      </c>
      <c r="E51" s="27"/>
      <c r="F51" s="27">
        <f>D51+F21</f>
        <v>-40074.523809523787</v>
      </c>
      <c r="G51" s="27"/>
      <c r="H51" s="27">
        <f>F51+H21</f>
        <v>-43315.654350649347</v>
      </c>
      <c r="I51" s="27"/>
      <c r="J51" s="27">
        <f>H51+J21</f>
        <v>-36931.353633982697</v>
      </c>
      <c r="K51" s="38"/>
      <c r="L51" s="27">
        <f>J51+L21</f>
        <v>-21569.150252816038</v>
      </c>
      <c r="M51" s="38"/>
      <c r="N51" s="27">
        <f>L51+N21</f>
        <v>3263.9078126556524</v>
      </c>
      <c r="O51" s="38"/>
      <c r="P51" s="27">
        <f>N51+P21</f>
        <v>38089.385303019779</v>
      </c>
      <c r="Q51" s="38"/>
      <c r="R51" s="27">
        <f>P51+R21</f>
        <v>83459.24717646667</v>
      </c>
      <c r="S51" s="38"/>
      <c r="T51" s="27">
        <f>R51+T21</f>
        <v>139957.76759792125</v>
      </c>
      <c r="U51" s="38"/>
      <c r="V51" s="27">
        <f>T51+V21</f>
        <v>208203.56938567414</v>
      </c>
      <c r="W51" s="38"/>
      <c r="X51" s="27">
        <f>V51+X21</f>
        <v>288530.21686421504</v>
      </c>
      <c r="Y51" s="38"/>
      <c r="Z51" s="27">
        <f>X51+Z21</f>
        <v>379939.86338334961</v>
      </c>
      <c r="AA51" s="38"/>
      <c r="AB51" s="27">
        <f>Z51+AB21</f>
        <v>482986.65889510763</v>
      </c>
      <c r="AC51" s="38"/>
      <c r="AD51" s="10">
        <f>AB51+AD21</f>
        <v>598204.54422036104</v>
      </c>
      <c r="AE51" s="16"/>
    </row>
    <row r="52" spans="2:31" x14ac:dyDescent="0.25">
      <c r="B52" s="14"/>
      <c r="C52" s="26"/>
      <c r="D52" s="28"/>
      <c r="E52" s="27"/>
      <c r="F52" s="27"/>
      <c r="G52" s="27"/>
      <c r="H52" s="27"/>
      <c r="I52" s="27"/>
      <c r="J52" s="27"/>
      <c r="K52" s="38"/>
      <c r="L52" s="76"/>
      <c r="M52" s="38"/>
      <c r="N52" s="76"/>
      <c r="O52" s="38"/>
      <c r="P52" s="76"/>
      <c r="Q52" s="38"/>
      <c r="R52" s="76"/>
      <c r="S52" s="38"/>
      <c r="T52" s="76"/>
      <c r="U52" s="38"/>
      <c r="V52" s="76"/>
      <c r="W52" s="38"/>
      <c r="X52" s="76"/>
      <c r="Y52" s="38"/>
      <c r="Z52" s="76"/>
      <c r="AA52" s="38"/>
      <c r="AB52" s="76"/>
      <c r="AC52" s="38"/>
      <c r="AD52" s="16"/>
      <c r="AE52" s="16"/>
    </row>
    <row r="53" spans="2:31" ht="15.75" thickBot="1" x14ac:dyDescent="0.3">
      <c r="B53" s="14"/>
      <c r="C53" s="26" t="s">
        <v>35</v>
      </c>
      <c r="D53" s="31">
        <f>D51+D50+D47</f>
        <v>313137.23809523811</v>
      </c>
      <c r="E53" s="27"/>
      <c r="F53" s="23">
        <f>F51+F50+F47</f>
        <v>283959.57619047619</v>
      </c>
      <c r="G53" s="27"/>
      <c r="H53" s="23">
        <f>H51+H50+H47</f>
        <v>266472.53928571433</v>
      </c>
      <c r="I53" s="27"/>
      <c r="J53" s="23">
        <f>J51+J50+J47</f>
        <v>256547.16649458872</v>
      </c>
      <c r="K53" s="38"/>
      <c r="L53" s="23">
        <f>L51+L50+L47</f>
        <v>256824.67234875538</v>
      </c>
      <c r="M53" s="38"/>
      <c r="N53" s="23">
        <f>N51+N50+N47</f>
        <v>265075.42546429706</v>
      </c>
      <c r="O53" s="38"/>
      <c r="P53" s="23">
        <f>P51+P50+P47</f>
        <v>281679.20668146247</v>
      </c>
      <c r="Q53" s="38"/>
      <c r="R53" s="23">
        <f>R51+R50+R47</f>
        <v>307033.08654545905</v>
      </c>
      <c r="S53" s="38"/>
      <c r="T53" s="23">
        <f>T51+T50+T47</f>
        <v>341552.13685136579</v>
      </c>
      <c r="U53" s="38"/>
      <c r="V53" s="23">
        <f>V51+V50+V47</f>
        <v>390774.71519047994</v>
      </c>
      <c r="W53" s="38"/>
      <c r="X53" s="23">
        <f>X51+X50+X47</f>
        <v>476445.01521700411</v>
      </c>
      <c r="Y53" s="38"/>
      <c r="Z53" s="23">
        <f>Z51+Z50+Z47</f>
        <v>572778.97308234964</v>
      </c>
      <c r="AA53" s="38"/>
      <c r="AB53" s="23">
        <f>AB51+AB50+AB47</f>
        <v>680996.29550762905</v>
      </c>
      <c r="AC53" s="38"/>
      <c r="AD53" s="36">
        <f>AD51+AD50+AD47</f>
        <v>802193.13445069606</v>
      </c>
      <c r="AE53" s="16"/>
    </row>
    <row r="54" spans="2:31" ht="15.75" thickTop="1" x14ac:dyDescent="0.25">
      <c r="B54" s="14"/>
      <c r="C54" s="26"/>
      <c r="D54" s="18"/>
      <c r="E54" s="6"/>
      <c r="F54" s="6"/>
      <c r="G54" s="6"/>
      <c r="H54" s="6"/>
      <c r="I54" s="6"/>
      <c r="J54" s="6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80"/>
    </row>
    <row r="55" spans="2:31" x14ac:dyDescent="0.25">
      <c r="B55" s="14"/>
      <c r="C55" s="26"/>
      <c r="D55" s="27"/>
      <c r="E55" s="27"/>
      <c r="F55" s="27"/>
      <c r="G55" s="27"/>
      <c r="H55" s="27"/>
      <c r="I55" s="27"/>
      <c r="J55" s="27"/>
      <c r="K55" s="38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16"/>
    </row>
    <row r="56" spans="2:31" x14ac:dyDescent="0.25">
      <c r="B56" s="14"/>
      <c r="C56" s="78" t="s">
        <v>74</v>
      </c>
      <c r="D56" s="79">
        <f>D53-D36</f>
        <v>0</v>
      </c>
      <c r="E56" s="79"/>
      <c r="F56" s="79">
        <f>F53-F36</f>
        <v>0</v>
      </c>
      <c r="G56" s="79"/>
      <c r="H56" s="79">
        <f>H53-H36</f>
        <v>0</v>
      </c>
      <c r="I56" s="79"/>
      <c r="J56" s="79">
        <f>J53-J36</f>
        <v>1.3636363728437573E-3</v>
      </c>
      <c r="K56" s="79"/>
      <c r="L56" s="79">
        <f>L53-L36</f>
        <v>1.3636364019475877E-3</v>
      </c>
      <c r="M56" s="79"/>
      <c r="N56" s="79">
        <f>N53-N36</f>
        <v>1.3636364019475877E-3</v>
      </c>
      <c r="O56" s="79"/>
      <c r="P56" s="79">
        <f>P53-P36</f>
        <v>1.3636363437399268E-3</v>
      </c>
      <c r="Q56" s="79"/>
      <c r="R56" s="79">
        <f>R53-R36</f>
        <v>1.3636363437399268E-3</v>
      </c>
      <c r="S56" s="79"/>
      <c r="T56" s="79">
        <f>T53-T36</f>
        <v>1.3636366929858923E-3</v>
      </c>
      <c r="U56" s="79"/>
      <c r="V56" s="79">
        <f>V53-V36</f>
        <v>1.363636867608875E-3</v>
      </c>
      <c r="W56" s="79"/>
      <c r="X56" s="79">
        <f>X53-X36</f>
        <v>1.3636365765705705E-3</v>
      </c>
      <c r="Y56" s="79"/>
      <c r="Z56" s="79">
        <f>Z53-Z36</f>
        <v>1.3636364601552486E-3</v>
      </c>
      <c r="AA56" s="79"/>
      <c r="AB56" s="79">
        <f>AB53-AB36</f>
        <v>1.3636369258165359E-3</v>
      </c>
      <c r="AC56" s="79"/>
      <c r="AD56" s="79">
        <f>AD53-AD36</f>
        <v>300.26509349339176</v>
      </c>
      <c r="AE56" s="16"/>
    </row>
    <row r="57" spans="2:31" x14ac:dyDescent="0.25">
      <c r="B57" s="84"/>
      <c r="C57" s="26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85"/>
    </row>
    <row r="58" spans="2:31" x14ac:dyDescent="0.25">
      <c r="B58" s="84"/>
      <c r="C58" s="26"/>
      <c r="D58" s="27"/>
      <c r="E58" s="27"/>
      <c r="F58" s="27"/>
      <c r="G58" s="27"/>
      <c r="H58" s="27"/>
      <c r="I58" s="27"/>
      <c r="J58" s="27"/>
      <c r="K58" s="38"/>
      <c r="L58" s="27"/>
      <c r="M58" s="38"/>
      <c r="N58" s="27"/>
      <c r="O58" s="38"/>
      <c r="P58" s="27"/>
      <c r="Q58" s="38"/>
      <c r="R58" s="27"/>
      <c r="S58" s="38"/>
      <c r="T58" s="27"/>
      <c r="U58" s="38"/>
      <c r="V58" s="27"/>
      <c r="W58" s="38"/>
      <c r="X58" s="27"/>
      <c r="Y58" s="38"/>
      <c r="Z58" s="27"/>
      <c r="AA58" s="38"/>
      <c r="AB58" s="27"/>
      <c r="AC58" s="38"/>
      <c r="AD58" s="27"/>
      <c r="AE58" s="85"/>
    </row>
    <row r="59" spans="2:31" x14ac:dyDescent="0.25">
      <c r="B59" s="84"/>
      <c r="C59" s="26" t="s">
        <v>91</v>
      </c>
      <c r="D59" s="102">
        <f>D30/D42</f>
        <v>7.0224089635854323</v>
      </c>
      <c r="E59" s="103"/>
      <c r="F59" s="103">
        <f>F30/F42</f>
        <v>1.2312035925481197</v>
      </c>
      <c r="G59" s="104"/>
      <c r="H59" s="103">
        <f>H30/H42</f>
        <v>0.92601061588656608</v>
      </c>
      <c r="I59" s="104"/>
      <c r="J59" s="103">
        <f>J30/J42</f>
        <v>1.7574063775822064</v>
      </c>
      <c r="K59" s="105"/>
      <c r="L59" s="103">
        <f>L30/L42</f>
        <v>2.8678880958066295</v>
      </c>
      <c r="M59" s="105"/>
      <c r="N59" s="103">
        <f>N30/N42</f>
        <v>3.8503243410920174</v>
      </c>
      <c r="O59" s="105"/>
      <c r="P59" s="103">
        <f>P30/P42</f>
        <v>1.405539170023701</v>
      </c>
      <c r="Q59" s="105"/>
      <c r="R59" s="103">
        <f>R30/R42</f>
        <v>2.9953902679896252</v>
      </c>
      <c r="S59" s="105"/>
      <c r="T59" s="103">
        <f>T30/T42</f>
        <v>4.3353578358646665</v>
      </c>
      <c r="U59" s="105"/>
      <c r="V59" s="103">
        <f>V30/V42</f>
        <v>5.6744191310332122</v>
      </c>
      <c r="W59" s="105"/>
      <c r="X59" s="103">
        <f>X30/X42</f>
        <v>7.580085014077544</v>
      </c>
      <c r="Y59" s="105"/>
      <c r="Z59" s="103">
        <f>Z30/Z42</f>
        <v>9.3521111290790522</v>
      </c>
      <c r="AA59" s="105"/>
      <c r="AB59" s="103">
        <f>AB30/AB42</f>
        <v>9.7013481411026223</v>
      </c>
      <c r="AC59" s="105"/>
      <c r="AD59" s="106">
        <f>AD30/AD42</f>
        <v>11.298771838156499</v>
      </c>
      <c r="AE59" s="85"/>
    </row>
    <row r="60" spans="2:31" x14ac:dyDescent="0.25">
      <c r="B60" s="84"/>
      <c r="C60" s="26" t="s">
        <v>92</v>
      </c>
      <c r="D60" s="107">
        <f>D47/(ABS(D50+D51))</f>
        <v>1.5152547429620562</v>
      </c>
      <c r="E60" s="108"/>
      <c r="F60" s="109">
        <f>F47/(ABS(F50+F51))</f>
        <v>1.5832007832146018</v>
      </c>
      <c r="G60" s="108"/>
      <c r="H60" s="109">
        <f>H47/(ABS(H50+H51))</f>
        <v>1.4977660748986956</v>
      </c>
      <c r="I60" s="108"/>
      <c r="J60" s="109">
        <f>J47/(ABS(J50+J51))</f>
        <v>1.2689505423467577</v>
      </c>
      <c r="K60" s="40"/>
      <c r="L60" s="109">
        <f>L47/(ABS(L50+L51))</f>
        <v>0.99971169586057063</v>
      </c>
      <c r="M60" s="40"/>
      <c r="N60" s="109">
        <f>N47/(ABS(N50+N51))</f>
        <v>0.72953586560193839</v>
      </c>
      <c r="O60" s="40"/>
      <c r="P60" s="109">
        <f>P47/(ABS(P50+P51))</f>
        <v>0.4975816217787391</v>
      </c>
      <c r="Q60" s="40"/>
      <c r="R60" s="109">
        <f>R47/(ABS(R50+R51))</f>
        <v>0.3151463917528165</v>
      </c>
      <c r="S60" s="40"/>
      <c r="T60" s="109">
        <f>T47/(ABS(T50+T51))</f>
        <v>0.17793753097516415</v>
      </c>
      <c r="U60" s="40"/>
      <c r="V60" s="109">
        <f>V47/(ABS(V50+V51))</f>
        <v>9.0929149200455833E-2</v>
      </c>
      <c r="W60" s="40"/>
      <c r="X60" s="109">
        <f>X47/(ABS(X50+X51))</f>
        <v>8.6458804649552551E-2</v>
      </c>
      <c r="Y60" s="40"/>
      <c r="Z60" s="109">
        <f>Z47/(ABS(Z50+Z51))</f>
        <v>8.083768113894628E-2</v>
      </c>
      <c r="AA60" s="40"/>
      <c r="AB60" s="109">
        <f>AB47/(ABS(AB50+AB51))</f>
        <v>7.5846206136987601E-2</v>
      </c>
      <c r="AC60" s="40"/>
      <c r="AD60" s="110">
        <f>AD47/(ABS(AD50+AD51))</f>
        <v>7.2157527840988764E-2</v>
      </c>
      <c r="AE60" s="85"/>
    </row>
    <row r="61" spans="2:31" x14ac:dyDescent="0.25">
      <c r="B61" s="84"/>
      <c r="C61" s="26" t="s">
        <v>93</v>
      </c>
      <c r="D61" s="111">
        <f>D21/D36</f>
        <v>-8.1449150091196854E-2</v>
      </c>
      <c r="E61" s="112"/>
      <c r="F61" s="112">
        <f>F21/F36</f>
        <v>-5.1309281765474592E-2</v>
      </c>
      <c r="G61" s="112"/>
      <c r="H61" s="112">
        <f>H21/H36</f>
        <v>-1.2163093990148055E-2</v>
      </c>
      <c r="I61" s="112"/>
      <c r="J61" s="112">
        <f>J21/J36</f>
        <v>2.4885485339149367E-2</v>
      </c>
      <c r="K61" s="112"/>
      <c r="L61" s="112">
        <f>L21/L36</f>
        <v>5.9815917692957077E-2</v>
      </c>
      <c r="M61" s="112"/>
      <c r="N61" s="112">
        <f>N21/N36</f>
        <v>9.3682989095365918E-2</v>
      </c>
      <c r="O61" s="112"/>
      <c r="P61" s="112">
        <f>P21/P36</f>
        <v>0.1236352447496776</v>
      </c>
      <c r="Q61" s="112"/>
      <c r="R61" s="112">
        <f>R21/R36</f>
        <v>0.14776864143673374</v>
      </c>
      <c r="S61" s="112"/>
      <c r="T61" s="112">
        <f>T21/T36</f>
        <v>0.16541697313874468</v>
      </c>
      <c r="U61" s="112"/>
      <c r="V61" s="112">
        <f>V21/V36</f>
        <v>0.17464231787012052</v>
      </c>
      <c r="W61" s="112"/>
      <c r="X61" s="112">
        <f>X21/X36</f>
        <v>0.16859584032348068</v>
      </c>
      <c r="Y61" s="112"/>
      <c r="Z61" s="112">
        <f>Z21/Z36</f>
        <v>0.15958973885658828</v>
      </c>
      <c r="AA61" s="112"/>
      <c r="AB61" s="112">
        <f>AB21/AB36</f>
        <v>0.15131770377882475</v>
      </c>
      <c r="AC61" s="112"/>
      <c r="AD61" s="113">
        <f>AD21/AD36</f>
        <v>0.14368239166113561</v>
      </c>
      <c r="AE61" s="85"/>
    </row>
    <row r="62" spans="2:31" x14ac:dyDescent="0.25">
      <c r="B62" s="84"/>
      <c r="C62" s="26" t="s">
        <v>94</v>
      </c>
      <c r="D62" s="114">
        <f>D21/(ABS(D50+D51))</f>
        <v>-0.20486536107711129</v>
      </c>
      <c r="E62" s="115"/>
      <c r="F62" s="115">
        <f>F21/(ABS(F50+F51))</f>
        <v>-0.13254217684275266</v>
      </c>
      <c r="G62" s="115"/>
      <c r="H62" s="115">
        <f>H21/(ABS(H50+H51))</f>
        <v>-3.0380563534396023E-2</v>
      </c>
      <c r="I62" s="115"/>
      <c r="J62" s="115">
        <f>J21/(ABS(J50+J51))</f>
        <v>5.6463935156700021E-2</v>
      </c>
      <c r="K62" s="115"/>
      <c r="L62" s="115">
        <f>L21/(ABS(L50+L51))</f>
        <v>0.11961458957413382</v>
      </c>
      <c r="M62" s="115"/>
      <c r="N62" s="115">
        <f>N21/(ABS(N50+N51))</f>
        <v>0.16202808880370412</v>
      </c>
      <c r="O62" s="115"/>
      <c r="P62" s="115">
        <f>P21/(ABS(P50+P51))</f>
        <v>0.18515386944488568</v>
      </c>
      <c r="Q62" s="115"/>
      <c r="R62" s="115">
        <f>R21/(ABS(R50+R51))</f>
        <v>0.1943373947366189</v>
      </c>
      <c r="S62" s="115"/>
      <c r="T62" s="115">
        <f>T21/(ABS(T50+T51))</f>
        <v>0.19485086014250172</v>
      </c>
      <c r="U62" s="115"/>
      <c r="V62" s="115">
        <f>V21/(ABS(V50+V51))</f>
        <v>0.19052239458360434</v>
      </c>
      <c r="W62" s="115"/>
      <c r="X62" s="115">
        <f>X21/(ABS(X50+X51))</f>
        <v>0.18317243462247657</v>
      </c>
      <c r="Y62" s="115"/>
      <c r="Z62" s="115">
        <f>Z21/(ABS(Z50+Z51))</f>
        <v>0.17249060286866999</v>
      </c>
      <c r="AA62" s="115"/>
      <c r="AB62" s="115">
        <f>AB21/(ABS(AB50+AB51))</f>
        <v>0.16279457720582688</v>
      </c>
      <c r="AC62" s="115"/>
      <c r="AD62" s="116">
        <f>AD21/(ABS(AD50+AD51))</f>
        <v>0.15399249605642532</v>
      </c>
      <c r="AE62" s="85"/>
    </row>
    <row r="63" spans="2:31" x14ac:dyDescent="0.25">
      <c r="B63" s="82"/>
      <c r="C63" s="35"/>
      <c r="D63" s="6"/>
      <c r="E63" s="6"/>
      <c r="F63" s="6"/>
      <c r="G63" s="6"/>
      <c r="H63" s="6"/>
      <c r="I63" s="6"/>
      <c r="J63" s="6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83"/>
    </row>
  </sheetData>
  <mergeCells count="1">
    <mergeCell ref="H2:J2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7" r:id="rId4" name="Button 13">
              <controlPr defaultSize="0" print="0" autoFill="0" autoPict="0" macro="[0]!calc_button">
                <anchor moveWithCells="1" sizeWithCells="1">
                  <from>
                    <xdr:col>7</xdr:col>
                    <xdr:colOff>66675</xdr:colOff>
                    <xdr:row>2</xdr:row>
                    <xdr:rowOff>0</xdr:rowOff>
                  </from>
                  <to>
                    <xdr:col>9</xdr:col>
                    <xdr:colOff>571500</xdr:colOff>
                    <xdr:row>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E283"/>
  <sheetViews>
    <sheetView workbookViewId="0">
      <selection activeCell="C6" sqref="C6"/>
    </sheetView>
  </sheetViews>
  <sheetFormatPr defaultRowHeight="15" x14ac:dyDescent="0.25"/>
  <cols>
    <col min="1" max="1" width="9.140625" style="64"/>
    <col min="2" max="4" width="12.5703125" style="65" customWidth="1"/>
    <col min="5" max="5" width="13.85546875" style="65" customWidth="1"/>
    <col min="6" max="16384" width="9.140625" style="64"/>
  </cols>
  <sheetData>
    <row r="2" spans="2:5" x14ac:dyDescent="0.25">
      <c r="B2" s="63"/>
      <c r="C2" s="63"/>
      <c r="D2" s="63"/>
      <c r="E2" s="63"/>
    </row>
    <row r="3" spans="2:5" ht="18.75" x14ac:dyDescent="0.3">
      <c r="B3" s="66"/>
      <c r="C3" s="66"/>
      <c r="D3" s="66"/>
      <c r="E3" s="63"/>
    </row>
    <row r="4" spans="2:5" x14ac:dyDescent="0.25">
      <c r="B4" s="63" t="s">
        <v>59</v>
      </c>
      <c r="C4" s="63" t="s">
        <v>60</v>
      </c>
      <c r="D4" s="63" t="s">
        <v>61</v>
      </c>
      <c r="E4" s="63" t="s">
        <v>62</v>
      </c>
    </row>
    <row r="5" spans="2:5" x14ac:dyDescent="0.25">
      <c r="B5" s="67"/>
      <c r="C5" s="67"/>
      <c r="D5" s="67"/>
      <c r="E5" s="63">
        <f>Assumptions!D19</f>
        <v>200000</v>
      </c>
    </row>
    <row r="6" spans="2:5" x14ac:dyDescent="0.25">
      <c r="B6" s="67">
        <f>Assumptions!$D$20</f>
        <v>31500</v>
      </c>
      <c r="C6" s="67">
        <f>E5*Assumptions!D18</f>
        <v>18000</v>
      </c>
      <c r="D6" s="67">
        <f>B6-C6</f>
        <v>13500</v>
      </c>
      <c r="E6" s="63">
        <f>E5-D6</f>
        <v>186500</v>
      </c>
    </row>
    <row r="7" spans="2:5" x14ac:dyDescent="0.25">
      <c r="B7" s="67">
        <f>IF(E6&gt;0,IF(Assumptions!$D$20&gt;'Mortgage Payments'!E6,'Mortgage Payments'!E6,Assumptions!$D$20),0)</f>
        <v>31500</v>
      </c>
      <c r="C7" s="67">
        <f>IF(E6&gt;0,E6*Assumptions!$D$18,0)</f>
        <v>16785</v>
      </c>
      <c r="D7" s="67">
        <f t="shared" ref="D7:D70" si="0">B7-C7</f>
        <v>14715</v>
      </c>
      <c r="E7" s="63">
        <f t="shared" ref="E7:E70" si="1">E6-D7</f>
        <v>171785</v>
      </c>
    </row>
    <row r="8" spans="2:5" x14ac:dyDescent="0.25">
      <c r="B8" s="67">
        <f>IF(E7&gt;0,Assumptions!$D$20,0)</f>
        <v>31500</v>
      </c>
      <c r="C8" s="67">
        <f>IF(E7&gt;0,E7*Assumptions!$D$18,0)</f>
        <v>15460.65</v>
      </c>
      <c r="D8" s="67">
        <f t="shared" si="0"/>
        <v>16039.35</v>
      </c>
      <c r="E8" s="63">
        <f t="shared" si="1"/>
        <v>155745.65</v>
      </c>
    </row>
    <row r="9" spans="2:5" x14ac:dyDescent="0.25">
      <c r="B9" s="67">
        <f>IF(E8&gt;0,Assumptions!$D$20,0)</f>
        <v>31500</v>
      </c>
      <c r="C9" s="67">
        <f>IF(E8&gt;0,E8*Assumptions!$D$18,0)</f>
        <v>14017.108499999998</v>
      </c>
      <c r="D9" s="67">
        <f t="shared" si="0"/>
        <v>17482.891500000002</v>
      </c>
      <c r="E9" s="63">
        <f t="shared" si="1"/>
        <v>138262.7585</v>
      </c>
    </row>
    <row r="10" spans="2:5" x14ac:dyDescent="0.25">
      <c r="B10" s="67">
        <f>IF(E9&gt;0,Assumptions!$D$20,0)</f>
        <v>31500</v>
      </c>
      <c r="C10" s="67">
        <f>IF(E9&gt;0,E9*Assumptions!$D$18,0)</f>
        <v>12443.648265</v>
      </c>
      <c r="D10" s="67">
        <f t="shared" si="0"/>
        <v>19056.351735</v>
      </c>
      <c r="E10" s="63">
        <f t="shared" si="1"/>
        <v>119206.40676499999</v>
      </c>
    </row>
    <row r="11" spans="2:5" x14ac:dyDescent="0.25">
      <c r="B11" s="67">
        <f>IF(E10&gt;0,Assumptions!$D$20,0)</f>
        <v>31500</v>
      </c>
      <c r="C11" s="67">
        <f>IF(E10&gt;0,E10*Assumptions!$D$18,0)</f>
        <v>10728.576608849999</v>
      </c>
      <c r="D11" s="67">
        <f t="shared" si="0"/>
        <v>20771.423391150001</v>
      </c>
      <c r="E11" s="63">
        <f t="shared" si="1"/>
        <v>98434.983373849987</v>
      </c>
    </row>
    <row r="12" spans="2:5" x14ac:dyDescent="0.25">
      <c r="B12" s="67">
        <f>IF(E11&gt;0,Assumptions!$D$20,0)</f>
        <v>31500</v>
      </c>
      <c r="C12" s="67">
        <f>IF(E11&gt;0,E11*Assumptions!$D$18,0)</f>
        <v>8859.1485036464983</v>
      </c>
      <c r="D12" s="67">
        <f t="shared" si="0"/>
        <v>22640.851496353502</v>
      </c>
      <c r="E12" s="63">
        <f t="shared" si="1"/>
        <v>75794.131877496489</v>
      </c>
    </row>
    <row r="13" spans="2:5" x14ac:dyDescent="0.25">
      <c r="B13" s="67">
        <f>IF(E12&gt;0,Assumptions!$D$20,0)</f>
        <v>31500</v>
      </c>
      <c r="C13" s="67">
        <f>IF(E12&gt;0,E12*Assumptions!$D$18,0)</f>
        <v>6821.4718689746842</v>
      </c>
      <c r="D13" s="67">
        <f t="shared" si="0"/>
        <v>24678.528131025316</v>
      </c>
      <c r="E13" s="63">
        <f t="shared" si="1"/>
        <v>51115.60374647117</v>
      </c>
    </row>
    <row r="14" spans="2:5" x14ac:dyDescent="0.25">
      <c r="B14" s="67">
        <f>IF(E13&gt;0,Assumptions!$D$20,0)</f>
        <v>31500</v>
      </c>
      <c r="C14" s="67">
        <f>IF(E13&gt;0,E13*Assumptions!$D$18,0)</f>
        <v>4600.4043371824055</v>
      </c>
      <c r="D14" s="67">
        <f t="shared" si="0"/>
        <v>26899.595662817595</v>
      </c>
      <c r="E14" s="63">
        <f t="shared" si="1"/>
        <v>24216.008083653574</v>
      </c>
    </row>
    <row r="15" spans="2:5" x14ac:dyDescent="0.25">
      <c r="B15" s="67">
        <f>IF(E14&gt;0,Assumptions!$D$20,0)</f>
        <v>31500</v>
      </c>
      <c r="C15" s="67">
        <f>IF(E14&gt;0,E14*Assumptions!$D$18,0)</f>
        <v>2179.4407275288218</v>
      </c>
      <c r="D15" s="67">
        <f t="shared" si="0"/>
        <v>29320.559272471179</v>
      </c>
      <c r="E15" s="63">
        <f t="shared" si="1"/>
        <v>-5104.5511888176043</v>
      </c>
    </row>
    <row r="16" spans="2:5" x14ac:dyDescent="0.25">
      <c r="B16" s="67">
        <f>IF(E15&gt;0,Assumptions!$D$20,0)</f>
        <v>0</v>
      </c>
      <c r="C16" s="67">
        <f>IF(E15&gt;0,E15*Assumptions!$D$18,0)</f>
        <v>0</v>
      </c>
      <c r="D16" s="67">
        <f t="shared" si="0"/>
        <v>0</v>
      </c>
      <c r="E16" s="63">
        <f t="shared" si="1"/>
        <v>-5104.5511888176043</v>
      </c>
    </row>
    <row r="17" spans="2:5" x14ac:dyDescent="0.25">
      <c r="B17" s="67">
        <f>IF(E16&gt;0,Assumptions!$D$20,0)</f>
        <v>0</v>
      </c>
      <c r="C17" s="67">
        <f>IF(E16&gt;0,E16*Assumptions!$D$18,0)</f>
        <v>0</v>
      </c>
      <c r="D17" s="67">
        <f t="shared" si="0"/>
        <v>0</v>
      </c>
      <c r="E17" s="63">
        <f t="shared" si="1"/>
        <v>-5104.5511888176043</v>
      </c>
    </row>
    <row r="18" spans="2:5" x14ac:dyDescent="0.25">
      <c r="B18" s="67">
        <f>IF(E17&gt;0,Assumptions!$D$20,0)</f>
        <v>0</v>
      </c>
      <c r="C18" s="67">
        <f>IF(E17&gt;0,E17*Assumptions!$D$18,0)</f>
        <v>0</v>
      </c>
      <c r="D18" s="67">
        <f t="shared" si="0"/>
        <v>0</v>
      </c>
      <c r="E18" s="63">
        <f t="shared" si="1"/>
        <v>-5104.5511888176043</v>
      </c>
    </row>
    <row r="19" spans="2:5" x14ac:dyDescent="0.25">
      <c r="B19" s="67">
        <f>IF(E18&gt;0,Assumptions!$D$20,0)</f>
        <v>0</v>
      </c>
      <c r="C19" s="67">
        <f>IF(E18&gt;0,E18*Assumptions!$D$18,0)</f>
        <v>0</v>
      </c>
      <c r="D19" s="67">
        <f t="shared" si="0"/>
        <v>0</v>
      </c>
      <c r="E19" s="63">
        <f t="shared" si="1"/>
        <v>-5104.5511888176043</v>
      </c>
    </row>
    <row r="20" spans="2:5" x14ac:dyDescent="0.25">
      <c r="B20" s="67">
        <f>IF(E19&gt;0,Assumptions!$D$20,0)</f>
        <v>0</v>
      </c>
      <c r="C20" s="67">
        <f>IF(E19&gt;0,E19*Assumptions!$D$18,0)</f>
        <v>0</v>
      </c>
      <c r="D20" s="67">
        <f t="shared" si="0"/>
        <v>0</v>
      </c>
      <c r="E20" s="63">
        <f t="shared" si="1"/>
        <v>-5104.5511888176043</v>
      </c>
    </row>
    <row r="21" spans="2:5" x14ac:dyDescent="0.25">
      <c r="B21" s="67">
        <f>IF(E20&gt;0,Assumptions!$D$20,0)</f>
        <v>0</v>
      </c>
      <c r="C21" s="67">
        <f>IF(E20&gt;0,E20*Assumptions!$D$18,0)</f>
        <v>0</v>
      </c>
      <c r="D21" s="67">
        <f t="shared" si="0"/>
        <v>0</v>
      </c>
      <c r="E21" s="63">
        <f t="shared" si="1"/>
        <v>-5104.5511888176043</v>
      </c>
    </row>
    <row r="22" spans="2:5" x14ac:dyDescent="0.25">
      <c r="B22" s="67">
        <f>IF(E21&gt;0,Assumptions!$D$20,0)</f>
        <v>0</v>
      </c>
      <c r="C22" s="67">
        <f>IF(E21&gt;0,E21*Assumptions!$D$18,0)</f>
        <v>0</v>
      </c>
      <c r="D22" s="67">
        <f t="shared" si="0"/>
        <v>0</v>
      </c>
      <c r="E22" s="63">
        <f t="shared" si="1"/>
        <v>-5104.5511888176043</v>
      </c>
    </row>
    <row r="23" spans="2:5" x14ac:dyDescent="0.25">
      <c r="B23" s="67">
        <f>IF(E22&gt;0,Assumptions!$D$20,0)</f>
        <v>0</v>
      </c>
      <c r="C23" s="67">
        <f>IF(E22&gt;0,E22*Assumptions!$D$18,0)</f>
        <v>0</v>
      </c>
      <c r="D23" s="67">
        <f t="shared" si="0"/>
        <v>0</v>
      </c>
      <c r="E23" s="63">
        <f t="shared" si="1"/>
        <v>-5104.5511888176043</v>
      </c>
    </row>
    <row r="24" spans="2:5" x14ac:dyDescent="0.25">
      <c r="B24" s="67">
        <f>IF(E23&gt;0,Assumptions!$D$20,0)</f>
        <v>0</v>
      </c>
      <c r="C24" s="67">
        <f>IF(E23&gt;0,E23*Assumptions!$D$18,0)</f>
        <v>0</v>
      </c>
      <c r="D24" s="67">
        <f t="shared" si="0"/>
        <v>0</v>
      </c>
      <c r="E24" s="63">
        <f t="shared" si="1"/>
        <v>-5104.5511888176043</v>
      </c>
    </row>
    <row r="25" spans="2:5" x14ac:dyDescent="0.25">
      <c r="B25" s="67">
        <f>IF(E24&gt;0,Assumptions!$D$20,0)</f>
        <v>0</v>
      </c>
      <c r="C25" s="67">
        <f>IF(E24&gt;0,E24*Assumptions!$D$18,0)</f>
        <v>0</v>
      </c>
      <c r="D25" s="67">
        <f t="shared" si="0"/>
        <v>0</v>
      </c>
      <c r="E25" s="63">
        <f t="shared" si="1"/>
        <v>-5104.5511888176043</v>
      </c>
    </row>
    <row r="26" spans="2:5" x14ac:dyDescent="0.25">
      <c r="B26" s="67">
        <f>IF(E25&gt;0,Assumptions!$D$20,0)</f>
        <v>0</v>
      </c>
      <c r="C26" s="67">
        <f>IF(E25&gt;0,E25*Assumptions!$D$18,0)</f>
        <v>0</v>
      </c>
      <c r="D26" s="67">
        <f t="shared" si="0"/>
        <v>0</v>
      </c>
      <c r="E26" s="63">
        <f t="shared" si="1"/>
        <v>-5104.5511888176043</v>
      </c>
    </row>
    <row r="27" spans="2:5" x14ac:dyDescent="0.25">
      <c r="B27" s="67">
        <f>IF(E26&gt;0,Assumptions!$D$20,0)</f>
        <v>0</v>
      </c>
      <c r="C27" s="67">
        <f>IF(E26&gt;0,E26*Assumptions!$D$18,0)</f>
        <v>0</v>
      </c>
      <c r="D27" s="67">
        <f t="shared" si="0"/>
        <v>0</v>
      </c>
      <c r="E27" s="63">
        <f t="shared" si="1"/>
        <v>-5104.5511888176043</v>
      </c>
    </row>
    <row r="28" spans="2:5" x14ac:dyDescent="0.25">
      <c r="B28" s="67">
        <f>IF(E27&gt;0,Assumptions!$D$20,0)</f>
        <v>0</v>
      </c>
      <c r="C28" s="67">
        <f>IF(E27&gt;0,E27*Assumptions!$D$18,0)</f>
        <v>0</v>
      </c>
      <c r="D28" s="67">
        <f t="shared" si="0"/>
        <v>0</v>
      </c>
      <c r="E28" s="63">
        <f t="shared" si="1"/>
        <v>-5104.5511888176043</v>
      </c>
    </row>
    <row r="29" spans="2:5" x14ac:dyDescent="0.25">
      <c r="B29" s="67">
        <f>IF(E28&gt;0,Assumptions!$D$20,0)</f>
        <v>0</v>
      </c>
      <c r="C29" s="67">
        <f>IF(E28&gt;0,E28*Assumptions!$D$18,0)</f>
        <v>0</v>
      </c>
      <c r="D29" s="67">
        <f t="shared" si="0"/>
        <v>0</v>
      </c>
      <c r="E29" s="63">
        <f t="shared" si="1"/>
        <v>-5104.5511888176043</v>
      </c>
    </row>
    <row r="30" spans="2:5" x14ac:dyDescent="0.25">
      <c r="B30" s="67">
        <f>IF(E29&gt;0,Assumptions!$D$20,0)</f>
        <v>0</v>
      </c>
      <c r="C30" s="67">
        <f>IF(E29&gt;0,E29*Assumptions!$D$18,0)</f>
        <v>0</v>
      </c>
      <c r="D30" s="67">
        <f t="shared" si="0"/>
        <v>0</v>
      </c>
      <c r="E30" s="63">
        <f t="shared" si="1"/>
        <v>-5104.5511888176043</v>
      </c>
    </row>
    <row r="31" spans="2:5" x14ac:dyDescent="0.25">
      <c r="B31" s="67">
        <f>IF(E30&gt;0,Assumptions!$D$20,0)</f>
        <v>0</v>
      </c>
      <c r="C31" s="67">
        <f>IF(E30&gt;0,E30*Assumptions!$D$18,0)</f>
        <v>0</v>
      </c>
      <c r="D31" s="67">
        <f t="shared" si="0"/>
        <v>0</v>
      </c>
      <c r="E31" s="63">
        <f t="shared" si="1"/>
        <v>-5104.5511888176043</v>
      </c>
    </row>
    <row r="32" spans="2:5" x14ac:dyDescent="0.25">
      <c r="B32" s="67">
        <f>IF(E31&gt;0,Assumptions!$D$20,0)</f>
        <v>0</v>
      </c>
      <c r="C32" s="67">
        <f>IF(E31&gt;0,E31*Assumptions!$D$18,0)</f>
        <v>0</v>
      </c>
      <c r="D32" s="67">
        <f t="shared" si="0"/>
        <v>0</v>
      </c>
      <c r="E32" s="63">
        <f t="shared" si="1"/>
        <v>-5104.5511888176043</v>
      </c>
    </row>
    <row r="33" spans="2:5" x14ac:dyDescent="0.25">
      <c r="B33" s="67">
        <f>IF(E32&gt;0,Assumptions!$D$20,0)</f>
        <v>0</v>
      </c>
      <c r="C33" s="67">
        <f>IF(E32&gt;0,E32*Assumptions!$D$18,0)</f>
        <v>0</v>
      </c>
      <c r="D33" s="67">
        <f t="shared" si="0"/>
        <v>0</v>
      </c>
      <c r="E33" s="63">
        <f t="shared" si="1"/>
        <v>-5104.5511888176043</v>
      </c>
    </row>
    <row r="34" spans="2:5" x14ac:dyDescent="0.25">
      <c r="B34" s="67">
        <f>IF(E33&gt;0,Assumptions!$D$20,0)</f>
        <v>0</v>
      </c>
      <c r="C34" s="67">
        <f>IF(E33&gt;0,E33*Assumptions!$D$18,0)</f>
        <v>0</v>
      </c>
      <c r="D34" s="67">
        <f t="shared" si="0"/>
        <v>0</v>
      </c>
      <c r="E34" s="63">
        <f t="shared" si="1"/>
        <v>-5104.5511888176043</v>
      </c>
    </row>
    <row r="35" spans="2:5" x14ac:dyDescent="0.25">
      <c r="B35" s="67">
        <f>IF(E34&gt;0,Assumptions!$D$20,0)</f>
        <v>0</v>
      </c>
      <c r="C35" s="67">
        <f>IF(E34&gt;0,E34*Assumptions!$D$18,0)</f>
        <v>0</v>
      </c>
      <c r="D35" s="67">
        <f t="shared" si="0"/>
        <v>0</v>
      </c>
      <c r="E35" s="63">
        <f t="shared" si="1"/>
        <v>-5104.5511888176043</v>
      </c>
    </row>
    <row r="36" spans="2:5" x14ac:dyDescent="0.25">
      <c r="B36" s="67">
        <f>IF(E35&gt;0,Assumptions!$D$20,0)</f>
        <v>0</v>
      </c>
      <c r="C36" s="67">
        <f>IF(E35&gt;0,E35*Assumptions!$D$18,0)</f>
        <v>0</v>
      </c>
      <c r="D36" s="67">
        <f t="shared" si="0"/>
        <v>0</v>
      </c>
      <c r="E36" s="63">
        <f t="shared" si="1"/>
        <v>-5104.5511888176043</v>
      </c>
    </row>
    <row r="37" spans="2:5" x14ac:dyDescent="0.25">
      <c r="B37" s="67">
        <f>IF(E36&gt;0,Assumptions!$D$20,0)</f>
        <v>0</v>
      </c>
      <c r="C37" s="67">
        <f>IF(E36&gt;0,E36*Assumptions!$D$18,0)</f>
        <v>0</v>
      </c>
      <c r="D37" s="67">
        <f t="shared" si="0"/>
        <v>0</v>
      </c>
      <c r="E37" s="63">
        <f t="shared" si="1"/>
        <v>-5104.5511888176043</v>
      </c>
    </row>
    <row r="38" spans="2:5" x14ac:dyDescent="0.25">
      <c r="B38" s="67">
        <f>IF(E37&gt;0,Assumptions!$D$20,0)</f>
        <v>0</v>
      </c>
      <c r="C38" s="67">
        <f>IF(E37&gt;0,E37*Assumptions!$D$18,0)</f>
        <v>0</v>
      </c>
      <c r="D38" s="67">
        <f t="shared" si="0"/>
        <v>0</v>
      </c>
      <c r="E38" s="63">
        <f t="shared" si="1"/>
        <v>-5104.5511888176043</v>
      </c>
    </row>
    <row r="39" spans="2:5" x14ac:dyDescent="0.25">
      <c r="B39" s="67">
        <f>IF(E38&gt;0,Assumptions!$D$20,0)</f>
        <v>0</v>
      </c>
      <c r="C39" s="67">
        <f>IF(E38&gt;0,E38*Assumptions!$D$18,0)</f>
        <v>0</v>
      </c>
      <c r="D39" s="67">
        <f t="shared" si="0"/>
        <v>0</v>
      </c>
      <c r="E39" s="63">
        <f t="shared" si="1"/>
        <v>-5104.5511888176043</v>
      </c>
    </row>
    <row r="40" spans="2:5" x14ac:dyDescent="0.25">
      <c r="B40" s="67">
        <f>IF(E39&gt;0,Assumptions!$D$20,0)</f>
        <v>0</v>
      </c>
      <c r="C40" s="67">
        <f>IF(E39&gt;0,E39*Assumptions!$D$18,0)</f>
        <v>0</v>
      </c>
      <c r="D40" s="67">
        <f t="shared" si="0"/>
        <v>0</v>
      </c>
      <c r="E40" s="63">
        <f t="shared" si="1"/>
        <v>-5104.5511888176043</v>
      </c>
    </row>
    <row r="41" spans="2:5" x14ac:dyDescent="0.25">
      <c r="B41" s="67">
        <f>IF(E40&gt;0,Assumptions!$D$20,0)</f>
        <v>0</v>
      </c>
      <c r="C41" s="67">
        <f>IF(E40&gt;0,E40*Assumptions!$D$18,0)</f>
        <v>0</v>
      </c>
      <c r="D41" s="67">
        <f t="shared" si="0"/>
        <v>0</v>
      </c>
      <c r="E41" s="63">
        <f t="shared" si="1"/>
        <v>-5104.5511888176043</v>
      </c>
    </row>
    <row r="42" spans="2:5" x14ac:dyDescent="0.25">
      <c r="B42" s="67">
        <f>IF(E41&gt;0,Assumptions!$D$20,0)</f>
        <v>0</v>
      </c>
      <c r="C42" s="67">
        <f>IF(E41&gt;0,E41*Assumptions!$D$18,0)</f>
        <v>0</v>
      </c>
      <c r="D42" s="67">
        <f t="shared" si="0"/>
        <v>0</v>
      </c>
      <c r="E42" s="63">
        <f t="shared" si="1"/>
        <v>-5104.5511888176043</v>
      </c>
    </row>
    <row r="43" spans="2:5" x14ac:dyDescent="0.25">
      <c r="B43" s="67">
        <f>IF(E42&gt;0,Assumptions!$D$20,0)</f>
        <v>0</v>
      </c>
      <c r="C43" s="67">
        <f>IF(E42&gt;0,E42*Assumptions!$D$18,0)</f>
        <v>0</v>
      </c>
      <c r="D43" s="67">
        <f t="shared" si="0"/>
        <v>0</v>
      </c>
      <c r="E43" s="63">
        <f t="shared" si="1"/>
        <v>-5104.5511888176043</v>
      </c>
    </row>
    <row r="44" spans="2:5" x14ac:dyDescent="0.25">
      <c r="B44" s="67">
        <f>IF(E43&gt;0,Assumptions!$D$20,0)</f>
        <v>0</v>
      </c>
      <c r="C44" s="67">
        <f>IF(E43&gt;0,E43*Assumptions!$D$18,0)</f>
        <v>0</v>
      </c>
      <c r="D44" s="67">
        <f t="shared" si="0"/>
        <v>0</v>
      </c>
      <c r="E44" s="63">
        <f t="shared" si="1"/>
        <v>-5104.5511888176043</v>
      </c>
    </row>
    <row r="45" spans="2:5" x14ac:dyDescent="0.25">
      <c r="B45" s="67">
        <f>IF(E44&gt;0,Assumptions!$D$20,0)</f>
        <v>0</v>
      </c>
      <c r="C45" s="67">
        <f>IF(E44&gt;0,E44*Assumptions!$D$18,0)</f>
        <v>0</v>
      </c>
      <c r="D45" s="67">
        <f t="shared" si="0"/>
        <v>0</v>
      </c>
      <c r="E45" s="63">
        <f t="shared" si="1"/>
        <v>-5104.5511888176043</v>
      </c>
    </row>
    <row r="46" spans="2:5" x14ac:dyDescent="0.25">
      <c r="B46" s="67">
        <f>IF(E45&gt;0,Assumptions!$D$20,0)</f>
        <v>0</v>
      </c>
      <c r="C46" s="67">
        <f>IF(E45&gt;0,E45*Assumptions!$D$18,0)</f>
        <v>0</v>
      </c>
      <c r="D46" s="67">
        <f t="shared" si="0"/>
        <v>0</v>
      </c>
      <c r="E46" s="63">
        <f t="shared" si="1"/>
        <v>-5104.5511888176043</v>
      </c>
    </row>
    <row r="47" spans="2:5" x14ac:dyDescent="0.25">
      <c r="B47" s="67">
        <f>IF(E46&gt;0,Assumptions!$D$20,0)</f>
        <v>0</v>
      </c>
      <c r="C47" s="67">
        <f>IF(E46&gt;0,E46*Assumptions!$D$18,0)</f>
        <v>0</v>
      </c>
      <c r="D47" s="67">
        <f t="shared" si="0"/>
        <v>0</v>
      </c>
      <c r="E47" s="63">
        <f t="shared" si="1"/>
        <v>-5104.5511888176043</v>
      </c>
    </row>
    <row r="48" spans="2:5" x14ac:dyDescent="0.25">
      <c r="B48" s="67">
        <f>IF(E47&gt;0,Assumptions!$D$20,0)</f>
        <v>0</v>
      </c>
      <c r="C48" s="67">
        <f>IF(E47&gt;0,E47*Assumptions!$D$18,0)</f>
        <v>0</v>
      </c>
      <c r="D48" s="67">
        <f t="shared" si="0"/>
        <v>0</v>
      </c>
      <c r="E48" s="63">
        <f t="shared" si="1"/>
        <v>-5104.5511888176043</v>
      </c>
    </row>
    <row r="49" spans="2:5" x14ac:dyDescent="0.25">
      <c r="B49" s="67">
        <f>IF(E48&gt;0,Assumptions!$D$20,0)</f>
        <v>0</v>
      </c>
      <c r="C49" s="67">
        <f>IF(E48&gt;0,E48*Assumptions!$D$18,0)</f>
        <v>0</v>
      </c>
      <c r="D49" s="67">
        <f t="shared" si="0"/>
        <v>0</v>
      </c>
      <c r="E49" s="63">
        <f t="shared" si="1"/>
        <v>-5104.5511888176043</v>
      </c>
    </row>
    <row r="50" spans="2:5" x14ac:dyDescent="0.25">
      <c r="B50" s="67">
        <f>IF(E49&gt;0,Assumptions!$D$20,0)</f>
        <v>0</v>
      </c>
      <c r="C50" s="67">
        <f>IF(E49&gt;0,E49*Assumptions!$D$18,0)</f>
        <v>0</v>
      </c>
      <c r="D50" s="67">
        <f t="shared" si="0"/>
        <v>0</v>
      </c>
      <c r="E50" s="63">
        <f t="shared" si="1"/>
        <v>-5104.5511888176043</v>
      </c>
    </row>
    <row r="51" spans="2:5" x14ac:dyDescent="0.25">
      <c r="B51" s="67">
        <f>IF(E50&gt;0,Assumptions!$D$20,0)</f>
        <v>0</v>
      </c>
      <c r="C51" s="67">
        <f>IF(E50&gt;0,E50*Assumptions!$D$18,0)</f>
        <v>0</v>
      </c>
      <c r="D51" s="67">
        <f t="shared" si="0"/>
        <v>0</v>
      </c>
      <c r="E51" s="63">
        <f t="shared" si="1"/>
        <v>-5104.5511888176043</v>
      </c>
    </row>
    <row r="52" spans="2:5" x14ac:dyDescent="0.25">
      <c r="B52" s="67">
        <f>IF(E51&gt;0,Assumptions!$D$20,0)</f>
        <v>0</v>
      </c>
      <c r="C52" s="67">
        <f>IF(E51&gt;0,E51*Assumptions!$D$18,0)</f>
        <v>0</v>
      </c>
      <c r="D52" s="67">
        <f t="shared" si="0"/>
        <v>0</v>
      </c>
      <c r="E52" s="63">
        <f t="shared" si="1"/>
        <v>-5104.5511888176043</v>
      </c>
    </row>
    <row r="53" spans="2:5" x14ac:dyDescent="0.25">
      <c r="B53" s="67">
        <f>IF(E52&gt;0,Assumptions!$D$20,0)</f>
        <v>0</v>
      </c>
      <c r="C53" s="67">
        <f>IF(E52&gt;0,E52*Assumptions!$D$18,0)</f>
        <v>0</v>
      </c>
      <c r="D53" s="67">
        <f t="shared" si="0"/>
        <v>0</v>
      </c>
      <c r="E53" s="63">
        <f t="shared" si="1"/>
        <v>-5104.5511888176043</v>
      </c>
    </row>
    <row r="54" spans="2:5" x14ac:dyDescent="0.25">
      <c r="B54" s="67">
        <f>IF(E53&gt;0,Assumptions!$D$20,0)</f>
        <v>0</v>
      </c>
      <c r="C54" s="67">
        <f>IF(E53&gt;0,E53*Assumptions!$D$18,0)</f>
        <v>0</v>
      </c>
      <c r="D54" s="67">
        <f t="shared" si="0"/>
        <v>0</v>
      </c>
      <c r="E54" s="63">
        <f t="shared" si="1"/>
        <v>-5104.5511888176043</v>
      </c>
    </row>
    <row r="55" spans="2:5" x14ac:dyDescent="0.25">
      <c r="B55" s="67">
        <f>IF(E54&gt;0,Assumptions!$D$20,0)</f>
        <v>0</v>
      </c>
      <c r="C55" s="67">
        <f>IF(E54&gt;0,E54*Assumptions!$D$18,0)</f>
        <v>0</v>
      </c>
      <c r="D55" s="67">
        <f t="shared" si="0"/>
        <v>0</v>
      </c>
      <c r="E55" s="63">
        <f t="shared" si="1"/>
        <v>-5104.5511888176043</v>
      </c>
    </row>
    <row r="56" spans="2:5" x14ac:dyDescent="0.25">
      <c r="B56" s="67">
        <f>IF(E55&gt;0,Assumptions!$D$20,0)</f>
        <v>0</v>
      </c>
      <c r="C56" s="67">
        <f>IF(E55&gt;0,E55*Assumptions!$D$18,0)</f>
        <v>0</v>
      </c>
      <c r="D56" s="67">
        <f t="shared" si="0"/>
        <v>0</v>
      </c>
      <c r="E56" s="63">
        <f t="shared" si="1"/>
        <v>-5104.5511888176043</v>
      </c>
    </row>
    <row r="57" spans="2:5" x14ac:dyDescent="0.25">
      <c r="B57" s="67">
        <f>IF(E56&gt;0,Assumptions!$D$20,0)</f>
        <v>0</v>
      </c>
      <c r="C57" s="67">
        <f>IF(E56&gt;0,E56*Assumptions!$D$18,0)</f>
        <v>0</v>
      </c>
      <c r="D57" s="67">
        <f t="shared" si="0"/>
        <v>0</v>
      </c>
      <c r="E57" s="63">
        <f t="shared" si="1"/>
        <v>-5104.5511888176043</v>
      </c>
    </row>
    <row r="58" spans="2:5" x14ac:dyDescent="0.25">
      <c r="B58" s="67">
        <f>IF(E57&gt;0,Assumptions!$D$20,0)</f>
        <v>0</v>
      </c>
      <c r="C58" s="67">
        <f>IF(E57&gt;0,E57*Assumptions!$D$18,0)</f>
        <v>0</v>
      </c>
      <c r="D58" s="67">
        <f t="shared" si="0"/>
        <v>0</v>
      </c>
      <c r="E58" s="63">
        <f t="shared" si="1"/>
        <v>-5104.5511888176043</v>
      </c>
    </row>
    <row r="59" spans="2:5" x14ac:dyDescent="0.25">
      <c r="B59" s="67">
        <f>IF(E58&gt;0,Assumptions!$D$20,0)</f>
        <v>0</v>
      </c>
      <c r="C59" s="67">
        <f>IF(E58&gt;0,E58*Assumptions!$D$18,0)</f>
        <v>0</v>
      </c>
      <c r="D59" s="67">
        <f t="shared" si="0"/>
        <v>0</v>
      </c>
      <c r="E59" s="63">
        <f t="shared" si="1"/>
        <v>-5104.5511888176043</v>
      </c>
    </row>
    <row r="60" spans="2:5" x14ac:dyDescent="0.25">
      <c r="B60" s="67">
        <f>IF(E59&gt;0,Assumptions!$D$20,0)</f>
        <v>0</v>
      </c>
      <c r="C60" s="67">
        <f>IF(E59&gt;0,E59*Assumptions!$D$18,0)</f>
        <v>0</v>
      </c>
      <c r="D60" s="67">
        <f t="shared" si="0"/>
        <v>0</v>
      </c>
      <c r="E60" s="63">
        <f t="shared" si="1"/>
        <v>-5104.5511888176043</v>
      </c>
    </row>
    <row r="61" spans="2:5" x14ac:dyDescent="0.25">
      <c r="B61" s="67">
        <f>IF(E60&gt;0,Assumptions!$D$20,0)</f>
        <v>0</v>
      </c>
      <c r="C61" s="67">
        <f>IF(E60&gt;0,E60*Assumptions!$D$18,0)</f>
        <v>0</v>
      </c>
      <c r="D61" s="67">
        <f t="shared" si="0"/>
        <v>0</v>
      </c>
      <c r="E61" s="63">
        <f t="shared" si="1"/>
        <v>-5104.5511888176043</v>
      </c>
    </row>
    <row r="62" spans="2:5" x14ac:dyDescent="0.25">
      <c r="B62" s="67">
        <f>IF(E61&gt;0,Assumptions!$D$20,0)</f>
        <v>0</v>
      </c>
      <c r="C62" s="67">
        <f>IF(E61&gt;0,E61*Assumptions!$D$18,0)</f>
        <v>0</v>
      </c>
      <c r="D62" s="67">
        <f t="shared" si="0"/>
        <v>0</v>
      </c>
      <c r="E62" s="63">
        <f t="shared" si="1"/>
        <v>-5104.5511888176043</v>
      </c>
    </row>
    <row r="63" spans="2:5" x14ac:dyDescent="0.25">
      <c r="B63" s="67">
        <f>IF(E62&gt;0,Assumptions!$D$20,0)</f>
        <v>0</v>
      </c>
      <c r="C63" s="67">
        <f>IF(E62&gt;0,E62*Assumptions!$D$18,0)</f>
        <v>0</v>
      </c>
      <c r="D63" s="67">
        <f t="shared" si="0"/>
        <v>0</v>
      </c>
      <c r="E63" s="63">
        <f t="shared" si="1"/>
        <v>-5104.5511888176043</v>
      </c>
    </row>
    <row r="64" spans="2:5" x14ac:dyDescent="0.25">
      <c r="B64" s="67">
        <f>IF(E63&gt;0,Assumptions!$D$20,0)</f>
        <v>0</v>
      </c>
      <c r="C64" s="67">
        <f>IF(E63&gt;0,E63*Assumptions!$D$18,0)</f>
        <v>0</v>
      </c>
      <c r="D64" s="67">
        <f t="shared" si="0"/>
        <v>0</v>
      </c>
      <c r="E64" s="63">
        <f t="shared" si="1"/>
        <v>-5104.5511888176043</v>
      </c>
    </row>
    <row r="65" spans="2:5" x14ac:dyDescent="0.25">
      <c r="B65" s="67">
        <f>IF(E64&gt;0,Assumptions!$D$20,0)</f>
        <v>0</v>
      </c>
      <c r="C65" s="67">
        <f>IF(E64&gt;0,E64*Assumptions!$D$18,0)</f>
        <v>0</v>
      </c>
      <c r="D65" s="67">
        <f t="shared" si="0"/>
        <v>0</v>
      </c>
      <c r="E65" s="63">
        <f t="shared" si="1"/>
        <v>-5104.5511888176043</v>
      </c>
    </row>
    <row r="66" spans="2:5" x14ac:dyDescent="0.25">
      <c r="B66" s="67">
        <f>IF(E65&gt;0,Assumptions!$D$20,0)</f>
        <v>0</v>
      </c>
      <c r="C66" s="67">
        <f>IF(E65&gt;0,E65*Assumptions!$D$18,0)</f>
        <v>0</v>
      </c>
      <c r="D66" s="67">
        <f t="shared" si="0"/>
        <v>0</v>
      </c>
      <c r="E66" s="63">
        <f t="shared" si="1"/>
        <v>-5104.5511888176043</v>
      </c>
    </row>
    <row r="67" spans="2:5" x14ac:dyDescent="0.25">
      <c r="B67" s="67">
        <f>IF(E66&gt;0,Assumptions!$D$20,0)</f>
        <v>0</v>
      </c>
      <c r="C67" s="67">
        <f>IF(E66&gt;0,E66*Assumptions!$D$18,0)</f>
        <v>0</v>
      </c>
      <c r="D67" s="67">
        <f t="shared" si="0"/>
        <v>0</v>
      </c>
      <c r="E67" s="63">
        <f t="shared" si="1"/>
        <v>-5104.5511888176043</v>
      </c>
    </row>
    <row r="68" spans="2:5" x14ac:dyDescent="0.25">
      <c r="B68" s="67">
        <f>IF(E67&gt;0,Assumptions!$D$20,0)</f>
        <v>0</v>
      </c>
      <c r="C68" s="67">
        <f>IF(E67&gt;0,E67*Assumptions!$D$18,0)</f>
        <v>0</v>
      </c>
      <c r="D68" s="67">
        <f t="shared" si="0"/>
        <v>0</v>
      </c>
      <c r="E68" s="63">
        <f t="shared" si="1"/>
        <v>-5104.5511888176043</v>
      </c>
    </row>
    <row r="69" spans="2:5" x14ac:dyDescent="0.25">
      <c r="B69" s="67">
        <f>IF(E68&gt;0,Assumptions!$D$20,0)</f>
        <v>0</v>
      </c>
      <c r="C69" s="67">
        <f>IF(E68&gt;0,E68*Assumptions!$D$18,0)</f>
        <v>0</v>
      </c>
      <c r="D69" s="67">
        <f t="shared" si="0"/>
        <v>0</v>
      </c>
      <c r="E69" s="63">
        <f t="shared" si="1"/>
        <v>-5104.5511888176043</v>
      </c>
    </row>
    <row r="70" spans="2:5" x14ac:dyDescent="0.25">
      <c r="B70" s="67">
        <f>IF(E69&gt;0,Assumptions!$D$20,0)</f>
        <v>0</v>
      </c>
      <c r="C70" s="67">
        <f>IF(E69&gt;0,E69*Assumptions!$D$18,0)</f>
        <v>0</v>
      </c>
      <c r="D70" s="67">
        <f t="shared" si="0"/>
        <v>0</v>
      </c>
      <c r="E70" s="63">
        <f t="shared" si="1"/>
        <v>-5104.5511888176043</v>
      </c>
    </row>
    <row r="71" spans="2:5" x14ac:dyDescent="0.25">
      <c r="B71" s="67">
        <f>IF(E70&gt;0,Assumptions!$D$20,0)</f>
        <v>0</v>
      </c>
      <c r="C71" s="67">
        <f>IF(E70&gt;0,E70*Assumptions!$D$18,0)</f>
        <v>0</v>
      </c>
      <c r="D71" s="67">
        <f t="shared" ref="D71:D134" si="2">B71-C71</f>
        <v>0</v>
      </c>
      <c r="E71" s="63">
        <f t="shared" ref="E71:E134" si="3">E70-D71</f>
        <v>-5104.5511888176043</v>
      </c>
    </row>
    <row r="72" spans="2:5" x14ac:dyDescent="0.25">
      <c r="B72" s="67">
        <f>IF(E71&gt;0,Assumptions!$D$20,0)</f>
        <v>0</v>
      </c>
      <c r="C72" s="67">
        <f>IF(E71&gt;0,E71*Assumptions!$D$18,0)</f>
        <v>0</v>
      </c>
      <c r="D72" s="67">
        <f t="shared" si="2"/>
        <v>0</v>
      </c>
      <c r="E72" s="63">
        <f t="shared" si="3"/>
        <v>-5104.5511888176043</v>
      </c>
    </row>
    <row r="73" spans="2:5" x14ac:dyDescent="0.25">
      <c r="B73" s="67">
        <f>IF(E72&gt;0,Assumptions!$D$20,0)</f>
        <v>0</v>
      </c>
      <c r="C73" s="67">
        <f>IF(E72&gt;0,E72*Assumptions!$D$18,0)</f>
        <v>0</v>
      </c>
      <c r="D73" s="67">
        <f t="shared" si="2"/>
        <v>0</v>
      </c>
      <c r="E73" s="63">
        <f t="shared" si="3"/>
        <v>-5104.5511888176043</v>
      </c>
    </row>
    <row r="74" spans="2:5" x14ac:dyDescent="0.25">
      <c r="B74" s="67">
        <f>IF(E73&gt;0,Assumptions!$D$20,0)</f>
        <v>0</v>
      </c>
      <c r="C74" s="67">
        <f>IF(E73&gt;0,E73*Assumptions!$D$18,0)</f>
        <v>0</v>
      </c>
      <c r="D74" s="67">
        <f t="shared" si="2"/>
        <v>0</v>
      </c>
      <c r="E74" s="63">
        <f t="shared" si="3"/>
        <v>-5104.5511888176043</v>
      </c>
    </row>
    <row r="75" spans="2:5" x14ac:dyDescent="0.25">
      <c r="B75" s="67">
        <f>IF(E74&gt;0,Assumptions!$D$20,0)</f>
        <v>0</v>
      </c>
      <c r="C75" s="67">
        <f>IF(E74&gt;0,E74*Assumptions!$D$18,0)</f>
        <v>0</v>
      </c>
      <c r="D75" s="67">
        <f t="shared" si="2"/>
        <v>0</v>
      </c>
      <c r="E75" s="63">
        <f t="shared" si="3"/>
        <v>-5104.5511888176043</v>
      </c>
    </row>
    <row r="76" spans="2:5" x14ac:dyDescent="0.25">
      <c r="B76" s="67">
        <f>IF(E75&gt;0,Assumptions!$D$20,0)</f>
        <v>0</v>
      </c>
      <c r="C76" s="67">
        <f>IF(E75&gt;0,E75*Assumptions!$D$18,0)</f>
        <v>0</v>
      </c>
      <c r="D76" s="67">
        <f t="shared" si="2"/>
        <v>0</v>
      </c>
      <c r="E76" s="63">
        <f t="shared" si="3"/>
        <v>-5104.5511888176043</v>
      </c>
    </row>
    <row r="77" spans="2:5" x14ac:dyDescent="0.25">
      <c r="B77" s="67">
        <f>IF(E76&gt;0,Assumptions!$D$20,0)</f>
        <v>0</v>
      </c>
      <c r="C77" s="67">
        <f>IF(E76&gt;0,E76*Assumptions!$D$18,0)</f>
        <v>0</v>
      </c>
      <c r="D77" s="67">
        <f t="shared" si="2"/>
        <v>0</v>
      </c>
      <c r="E77" s="63">
        <f t="shared" si="3"/>
        <v>-5104.5511888176043</v>
      </c>
    </row>
    <row r="78" spans="2:5" x14ac:dyDescent="0.25">
      <c r="B78" s="67">
        <f>IF(E77&gt;0,Assumptions!$D$20,0)</f>
        <v>0</v>
      </c>
      <c r="C78" s="67">
        <f>IF(E77&gt;0,E77*Assumptions!$D$18,0)</f>
        <v>0</v>
      </c>
      <c r="D78" s="67">
        <f t="shared" si="2"/>
        <v>0</v>
      </c>
      <c r="E78" s="63">
        <f t="shared" si="3"/>
        <v>-5104.5511888176043</v>
      </c>
    </row>
    <row r="79" spans="2:5" x14ac:dyDescent="0.25">
      <c r="B79" s="67">
        <f>IF(E78&gt;0,Assumptions!$D$20,0)</f>
        <v>0</v>
      </c>
      <c r="C79" s="67">
        <f>IF(E78&gt;0,E78*Assumptions!$D$18,0)</f>
        <v>0</v>
      </c>
      <c r="D79" s="67">
        <f t="shared" si="2"/>
        <v>0</v>
      </c>
      <c r="E79" s="63">
        <f t="shared" si="3"/>
        <v>-5104.5511888176043</v>
      </c>
    </row>
    <row r="80" spans="2:5" x14ac:dyDescent="0.25">
      <c r="B80" s="67">
        <f>IF(E79&gt;0,Assumptions!$D$20,0)</f>
        <v>0</v>
      </c>
      <c r="C80" s="67">
        <f>IF(E79&gt;0,E79*Assumptions!$D$18,0)</f>
        <v>0</v>
      </c>
      <c r="D80" s="67">
        <f t="shared" si="2"/>
        <v>0</v>
      </c>
      <c r="E80" s="63">
        <f t="shared" si="3"/>
        <v>-5104.5511888176043</v>
      </c>
    </row>
    <row r="81" spans="2:5" x14ac:dyDescent="0.25">
      <c r="B81" s="67">
        <f>IF(E80&gt;0,Assumptions!$D$20,0)</f>
        <v>0</v>
      </c>
      <c r="C81" s="67">
        <f>IF(E80&gt;0,E80*Assumptions!$D$18,0)</f>
        <v>0</v>
      </c>
      <c r="D81" s="67">
        <f t="shared" si="2"/>
        <v>0</v>
      </c>
      <c r="E81" s="63">
        <f t="shared" si="3"/>
        <v>-5104.5511888176043</v>
      </c>
    </row>
    <row r="82" spans="2:5" x14ac:dyDescent="0.25">
      <c r="B82" s="67">
        <f>IF(E81&gt;0,Assumptions!$D$20,0)</f>
        <v>0</v>
      </c>
      <c r="C82" s="67">
        <f>IF(E81&gt;0,E81*Assumptions!$D$18,0)</f>
        <v>0</v>
      </c>
      <c r="D82" s="67">
        <f t="shared" si="2"/>
        <v>0</v>
      </c>
      <c r="E82" s="63">
        <f t="shared" si="3"/>
        <v>-5104.5511888176043</v>
      </c>
    </row>
    <row r="83" spans="2:5" x14ac:dyDescent="0.25">
      <c r="B83" s="67">
        <f>IF(E82&gt;0,Assumptions!$D$20,0)</f>
        <v>0</v>
      </c>
      <c r="C83" s="67">
        <f>IF(E82&gt;0,E82*Assumptions!$D$18,0)</f>
        <v>0</v>
      </c>
      <c r="D83" s="67">
        <f t="shared" si="2"/>
        <v>0</v>
      </c>
      <c r="E83" s="63">
        <f t="shared" si="3"/>
        <v>-5104.5511888176043</v>
      </c>
    </row>
    <row r="84" spans="2:5" x14ac:dyDescent="0.25">
      <c r="B84" s="67">
        <f>IF(E83&gt;0,Assumptions!$D$20,0)</f>
        <v>0</v>
      </c>
      <c r="C84" s="67">
        <f>IF(E83&gt;0,E83*Assumptions!$D$18,0)</f>
        <v>0</v>
      </c>
      <c r="D84" s="67">
        <f t="shared" si="2"/>
        <v>0</v>
      </c>
      <c r="E84" s="63">
        <f t="shared" si="3"/>
        <v>-5104.5511888176043</v>
      </c>
    </row>
    <row r="85" spans="2:5" x14ac:dyDescent="0.25">
      <c r="B85" s="67">
        <f>IF(E84&gt;0,Assumptions!$D$20,0)</f>
        <v>0</v>
      </c>
      <c r="C85" s="67">
        <f>IF(E84&gt;0,E84*Assumptions!$D$18,0)</f>
        <v>0</v>
      </c>
      <c r="D85" s="67">
        <f t="shared" si="2"/>
        <v>0</v>
      </c>
      <c r="E85" s="63">
        <f t="shared" si="3"/>
        <v>-5104.5511888176043</v>
      </c>
    </row>
    <row r="86" spans="2:5" x14ac:dyDescent="0.25">
      <c r="B86" s="67">
        <f>IF(E85&gt;0,Assumptions!$D$20,0)</f>
        <v>0</v>
      </c>
      <c r="C86" s="67">
        <f>IF(E85&gt;0,E85*Assumptions!$D$18,0)</f>
        <v>0</v>
      </c>
      <c r="D86" s="67">
        <f t="shared" si="2"/>
        <v>0</v>
      </c>
      <c r="E86" s="63">
        <f t="shared" si="3"/>
        <v>-5104.5511888176043</v>
      </c>
    </row>
    <row r="87" spans="2:5" x14ac:dyDescent="0.25">
      <c r="B87" s="67">
        <f>IF(E86&gt;0,Assumptions!$D$20,0)</f>
        <v>0</v>
      </c>
      <c r="C87" s="67">
        <f>IF(E86&gt;0,E86*Assumptions!$D$18,0)</f>
        <v>0</v>
      </c>
      <c r="D87" s="67">
        <f t="shared" si="2"/>
        <v>0</v>
      </c>
      <c r="E87" s="63">
        <f t="shared" si="3"/>
        <v>-5104.5511888176043</v>
      </c>
    </row>
    <row r="88" spans="2:5" x14ac:dyDescent="0.25">
      <c r="B88" s="67">
        <f>IF(E87&gt;0,Assumptions!$D$20,0)</f>
        <v>0</v>
      </c>
      <c r="C88" s="67">
        <f>IF(E87&gt;0,E87*Assumptions!$D$18,0)</f>
        <v>0</v>
      </c>
      <c r="D88" s="67">
        <f t="shared" si="2"/>
        <v>0</v>
      </c>
      <c r="E88" s="63">
        <f t="shared" si="3"/>
        <v>-5104.5511888176043</v>
      </c>
    </row>
    <row r="89" spans="2:5" x14ac:dyDescent="0.25">
      <c r="B89" s="67">
        <f>IF(E88&gt;0,Assumptions!$D$20,0)</f>
        <v>0</v>
      </c>
      <c r="C89" s="67">
        <f>IF(E88&gt;0,E88*Assumptions!$D$18,0)</f>
        <v>0</v>
      </c>
      <c r="D89" s="67">
        <f t="shared" si="2"/>
        <v>0</v>
      </c>
      <c r="E89" s="63">
        <f t="shared" si="3"/>
        <v>-5104.5511888176043</v>
      </c>
    </row>
    <row r="90" spans="2:5" x14ac:dyDescent="0.25">
      <c r="B90" s="67">
        <f>IF(E89&gt;0,Assumptions!$D$20,0)</f>
        <v>0</v>
      </c>
      <c r="C90" s="67">
        <f>IF(E89&gt;0,E89*Assumptions!$D$18,0)</f>
        <v>0</v>
      </c>
      <c r="D90" s="67">
        <f t="shared" si="2"/>
        <v>0</v>
      </c>
      <c r="E90" s="63">
        <f t="shared" si="3"/>
        <v>-5104.5511888176043</v>
      </c>
    </row>
    <row r="91" spans="2:5" x14ac:dyDescent="0.25">
      <c r="B91" s="67">
        <f>IF(E90&gt;0,Assumptions!$D$20,0)</f>
        <v>0</v>
      </c>
      <c r="C91" s="67">
        <f>IF(E90&gt;0,E90*Assumptions!$D$18,0)</f>
        <v>0</v>
      </c>
      <c r="D91" s="67">
        <f t="shared" si="2"/>
        <v>0</v>
      </c>
      <c r="E91" s="63">
        <f t="shared" si="3"/>
        <v>-5104.5511888176043</v>
      </c>
    </row>
    <row r="92" spans="2:5" x14ac:dyDescent="0.25">
      <c r="B92" s="67">
        <f>IF(E91&gt;0,Assumptions!$D$20,0)</f>
        <v>0</v>
      </c>
      <c r="C92" s="67">
        <f>IF(E91&gt;0,E91*Assumptions!$D$18,0)</f>
        <v>0</v>
      </c>
      <c r="D92" s="67">
        <f t="shared" si="2"/>
        <v>0</v>
      </c>
      <c r="E92" s="63">
        <f t="shared" si="3"/>
        <v>-5104.5511888176043</v>
      </c>
    </row>
    <row r="93" spans="2:5" x14ac:dyDescent="0.25">
      <c r="B93" s="67">
        <f>IF(E92&gt;0,Assumptions!$D$20,0)</f>
        <v>0</v>
      </c>
      <c r="C93" s="67">
        <f>IF(E92&gt;0,E92*Assumptions!$D$18,0)</f>
        <v>0</v>
      </c>
      <c r="D93" s="67">
        <f t="shared" si="2"/>
        <v>0</v>
      </c>
      <c r="E93" s="63">
        <f t="shared" si="3"/>
        <v>-5104.5511888176043</v>
      </c>
    </row>
    <row r="94" spans="2:5" x14ac:dyDescent="0.25">
      <c r="B94" s="67">
        <f>IF(E93&gt;0,Assumptions!$D$20,0)</f>
        <v>0</v>
      </c>
      <c r="C94" s="67">
        <f>IF(E93&gt;0,E93*Assumptions!$D$18,0)</f>
        <v>0</v>
      </c>
      <c r="D94" s="67">
        <f t="shared" si="2"/>
        <v>0</v>
      </c>
      <c r="E94" s="63">
        <f t="shared" si="3"/>
        <v>-5104.5511888176043</v>
      </c>
    </row>
    <row r="95" spans="2:5" x14ac:dyDescent="0.25">
      <c r="B95" s="67">
        <f>IF(E94&gt;0,Assumptions!$D$20,0)</f>
        <v>0</v>
      </c>
      <c r="C95" s="67">
        <f>IF(E94&gt;0,E94*Assumptions!$D$18,0)</f>
        <v>0</v>
      </c>
      <c r="D95" s="67">
        <f t="shared" si="2"/>
        <v>0</v>
      </c>
      <c r="E95" s="63">
        <f t="shared" si="3"/>
        <v>-5104.5511888176043</v>
      </c>
    </row>
    <row r="96" spans="2:5" x14ac:dyDescent="0.25">
      <c r="B96" s="67">
        <f>IF(E95&gt;0,Assumptions!$D$20,0)</f>
        <v>0</v>
      </c>
      <c r="C96" s="67">
        <f>IF(E95&gt;0,E95*Assumptions!$D$18,0)</f>
        <v>0</v>
      </c>
      <c r="D96" s="67">
        <f t="shared" si="2"/>
        <v>0</v>
      </c>
      <c r="E96" s="63">
        <f t="shared" si="3"/>
        <v>-5104.5511888176043</v>
      </c>
    </row>
    <row r="97" spans="2:5" x14ac:dyDescent="0.25">
      <c r="B97" s="67">
        <f>IF(E96&gt;0,Assumptions!$D$20,0)</f>
        <v>0</v>
      </c>
      <c r="C97" s="67">
        <f>IF(E96&gt;0,E96*Assumptions!$D$18,0)</f>
        <v>0</v>
      </c>
      <c r="D97" s="67">
        <f t="shared" si="2"/>
        <v>0</v>
      </c>
      <c r="E97" s="63">
        <f t="shared" si="3"/>
        <v>-5104.5511888176043</v>
      </c>
    </row>
    <row r="98" spans="2:5" x14ac:dyDescent="0.25">
      <c r="B98" s="67">
        <f>IF(E97&gt;0,Assumptions!$D$20,0)</f>
        <v>0</v>
      </c>
      <c r="C98" s="67">
        <f>IF(E97&gt;0,E97*Assumptions!$D$18,0)</f>
        <v>0</v>
      </c>
      <c r="D98" s="67">
        <f t="shared" si="2"/>
        <v>0</v>
      </c>
      <c r="E98" s="63">
        <f t="shared" si="3"/>
        <v>-5104.5511888176043</v>
      </c>
    </row>
    <row r="99" spans="2:5" x14ac:dyDescent="0.25">
      <c r="B99" s="67">
        <f>IF(E98&gt;0,Assumptions!$D$20,0)</f>
        <v>0</v>
      </c>
      <c r="C99" s="67">
        <f>IF(E98&gt;0,E98*Assumptions!$D$18,0)</f>
        <v>0</v>
      </c>
      <c r="D99" s="67">
        <f t="shared" si="2"/>
        <v>0</v>
      </c>
      <c r="E99" s="63">
        <f t="shared" si="3"/>
        <v>-5104.5511888176043</v>
      </c>
    </row>
    <row r="100" spans="2:5" x14ac:dyDescent="0.25">
      <c r="B100" s="67">
        <f>IF(E99&gt;0,Assumptions!$D$20,0)</f>
        <v>0</v>
      </c>
      <c r="C100" s="67">
        <f>IF(E99&gt;0,E99*Assumptions!$D$18,0)</f>
        <v>0</v>
      </c>
      <c r="D100" s="67">
        <f t="shared" si="2"/>
        <v>0</v>
      </c>
      <c r="E100" s="63">
        <f t="shared" si="3"/>
        <v>-5104.5511888176043</v>
      </c>
    </row>
    <row r="101" spans="2:5" x14ac:dyDescent="0.25">
      <c r="B101" s="67">
        <f>IF(E100&gt;0,Assumptions!$D$20,0)</f>
        <v>0</v>
      </c>
      <c r="C101" s="67">
        <f>IF(E100&gt;0,E100*Assumptions!$D$18,0)</f>
        <v>0</v>
      </c>
      <c r="D101" s="67">
        <f t="shared" si="2"/>
        <v>0</v>
      </c>
      <c r="E101" s="63">
        <f t="shared" si="3"/>
        <v>-5104.5511888176043</v>
      </c>
    </row>
    <row r="102" spans="2:5" x14ac:dyDescent="0.25">
      <c r="B102" s="67">
        <f>IF(E101&gt;0,Assumptions!$D$20,0)</f>
        <v>0</v>
      </c>
      <c r="C102" s="67">
        <f>IF(E101&gt;0,E101*Assumptions!$D$18,0)</f>
        <v>0</v>
      </c>
      <c r="D102" s="67">
        <f t="shared" si="2"/>
        <v>0</v>
      </c>
      <c r="E102" s="63">
        <f t="shared" si="3"/>
        <v>-5104.5511888176043</v>
      </c>
    </row>
    <row r="103" spans="2:5" x14ac:dyDescent="0.25">
      <c r="B103" s="67">
        <f>IF(E102&gt;0,Assumptions!$D$20,0)</f>
        <v>0</v>
      </c>
      <c r="C103" s="67">
        <f>IF(E102&gt;0,E102*Assumptions!$D$18,0)</f>
        <v>0</v>
      </c>
      <c r="D103" s="67">
        <f t="shared" si="2"/>
        <v>0</v>
      </c>
      <c r="E103" s="63">
        <f t="shared" si="3"/>
        <v>-5104.5511888176043</v>
      </c>
    </row>
    <row r="104" spans="2:5" x14ac:dyDescent="0.25">
      <c r="B104" s="67">
        <f>IF(E103&gt;0,Assumptions!$D$20,0)</f>
        <v>0</v>
      </c>
      <c r="C104" s="67">
        <f>IF(E103&gt;0,E103*Assumptions!$D$18,0)</f>
        <v>0</v>
      </c>
      <c r="D104" s="67">
        <f t="shared" si="2"/>
        <v>0</v>
      </c>
      <c r="E104" s="63">
        <f t="shared" si="3"/>
        <v>-5104.5511888176043</v>
      </c>
    </row>
    <row r="105" spans="2:5" x14ac:dyDescent="0.25">
      <c r="B105" s="67">
        <f>IF(E104&gt;0,Assumptions!$D$20,0)</f>
        <v>0</v>
      </c>
      <c r="C105" s="67">
        <f>IF(E104&gt;0,E104*Assumptions!$D$18,0)</f>
        <v>0</v>
      </c>
      <c r="D105" s="67">
        <f t="shared" si="2"/>
        <v>0</v>
      </c>
      <c r="E105" s="63">
        <f t="shared" si="3"/>
        <v>-5104.5511888176043</v>
      </c>
    </row>
    <row r="106" spans="2:5" x14ac:dyDescent="0.25">
      <c r="B106" s="67">
        <f>IF(E105&gt;0,Assumptions!$D$20,0)</f>
        <v>0</v>
      </c>
      <c r="C106" s="67">
        <f>IF(E105&gt;0,E105*Assumptions!$D$18,0)</f>
        <v>0</v>
      </c>
      <c r="D106" s="67">
        <f t="shared" si="2"/>
        <v>0</v>
      </c>
      <c r="E106" s="63">
        <f t="shared" si="3"/>
        <v>-5104.5511888176043</v>
      </c>
    </row>
    <row r="107" spans="2:5" x14ac:dyDescent="0.25">
      <c r="B107" s="67">
        <f>IF(E106&gt;0,Assumptions!$D$20,0)</f>
        <v>0</v>
      </c>
      <c r="C107" s="67">
        <f>IF(E106&gt;0,E106*Assumptions!$D$18,0)</f>
        <v>0</v>
      </c>
      <c r="D107" s="67">
        <f t="shared" si="2"/>
        <v>0</v>
      </c>
      <c r="E107" s="63">
        <f t="shared" si="3"/>
        <v>-5104.5511888176043</v>
      </c>
    </row>
    <row r="108" spans="2:5" x14ac:dyDescent="0.25">
      <c r="B108" s="67">
        <f>IF(E107&gt;0,Assumptions!$D$20,0)</f>
        <v>0</v>
      </c>
      <c r="C108" s="67">
        <f>IF(E107&gt;0,E107*Assumptions!$D$18,0)</f>
        <v>0</v>
      </c>
      <c r="D108" s="67">
        <f t="shared" si="2"/>
        <v>0</v>
      </c>
      <c r="E108" s="63">
        <f t="shared" si="3"/>
        <v>-5104.5511888176043</v>
      </c>
    </row>
    <row r="109" spans="2:5" x14ac:dyDescent="0.25">
      <c r="B109" s="67">
        <f>IF(E108&gt;0,Assumptions!$D$20,0)</f>
        <v>0</v>
      </c>
      <c r="C109" s="67">
        <f>IF(E108&gt;0,E108*Assumptions!$D$18,0)</f>
        <v>0</v>
      </c>
      <c r="D109" s="67">
        <f t="shared" si="2"/>
        <v>0</v>
      </c>
      <c r="E109" s="63">
        <f t="shared" si="3"/>
        <v>-5104.5511888176043</v>
      </c>
    </row>
    <row r="110" spans="2:5" x14ac:dyDescent="0.25">
      <c r="B110" s="67">
        <f>IF(E109&gt;0,Assumptions!$D$20,0)</f>
        <v>0</v>
      </c>
      <c r="C110" s="67">
        <f>IF(E109&gt;0,E109*Assumptions!$D$18,0)</f>
        <v>0</v>
      </c>
      <c r="D110" s="67">
        <f t="shared" si="2"/>
        <v>0</v>
      </c>
      <c r="E110" s="63">
        <f t="shared" si="3"/>
        <v>-5104.5511888176043</v>
      </c>
    </row>
    <row r="111" spans="2:5" x14ac:dyDescent="0.25">
      <c r="B111" s="67">
        <f>IF(E110&gt;0,Assumptions!$D$20,0)</f>
        <v>0</v>
      </c>
      <c r="C111" s="67">
        <f>IF(E110&gt;0,E110*Assumptions!$D$18,0)</f>
        <v>0</v>
      </c>
      <c r="D111" s="67">
        <f t="shared" si="2"/>
        <v>0</v>
      </c>
      <c r="E111" s="63">
        <f t="shared" si="3"/>
        <v>-5104.5511888176043</v>
      </c>
    </row>
    <row r="112" spans="2:5" x14ac:dyDescent="0.25">
      <c r="B112" s="67">
        <f>IF(E111&gt;0,Assumptions!$D$20,0)</f>
        <v>0</v>
      </c>
      <c r="C112" s="67">
        <f>IF(E111&gt;0,E111*Assumptions!$D$18,0)</f>
        <v>0</v>
      </c>
      <c r="D112" s="67">
        <f t="shared" si="2"/>
        <v>0</v>
      </c>
      <c r="E112" s="63">
        <f t="shared" si="3"/>
        <v>-5104.5511888176043</v>
      </c>
    </row>
    <row r="113" spans="2:5" x14ac:dyDescent="0.25">
      <c r="B113" s="67">
        <f>IF(E112&gt;0,Assumptions!$D$20,0)</f>
        <v>0</v>
      </c>
      <c r="C113" s="67">
        <f>IF(E112&gt;0,E112*Assumptions!$D$18,0)</f>
        <v>0</v>
      </c>
      <c r="D113" s="67">
        <f t="shared" si="2"/>
        <v>0</v>
      </c>
      <c r="E113" s="63">
        <f t="shared" si="3"/>
        <v>-5104.5511888176043</v>
      </c>
    </row>
    <row r="114" spans="2:5" x14ac:dyDescent="0.25">
      <c r="B114" s="67">
        <f>IF(E113&gt;0,Assumptions!$D$20,0)</f>
        <v>0</v>
      </c>
      <c r="C114" s="67">
        <f>IF(E113&gt;0,E113*Assumptions!$D$18,0)</f>
        <v>0</v>
      </c>
      <c r="D114" s="67">
        <f t="shared" si="2"/>
        <v>0</v>
      </c>
      <c r="E114" s="63">
        <f t="shared" si="3"/>
        <v>-5104.5511888176043</v>
      </c>
    </row>
    <row r="115" spans="2:5" x14ac:dyDescent="0.25">
      <c r="B115" s="67">
        <f>IF(E114&gt;0,Assumptions!$D$20,0)</f>
        <v>0</v>
      </c>
      <c r="C115" s="67">
        <f>IF(E114&gt;0,E114*Assumptions!$D$18,0)</f>
        <v>0</v>
      </c>
      <c r="D115" s="67">
        <f t="shared" si="2"/>
        <v>0</v>
      </c>
      <c r="E115" s="63">
        <f t="shared" si="3"/>
        <v>-5104.5511888176043</v>
      </c>
    </row>
    <row r="116" spans="2:5" x14ac:dyDescent="0.25">
      <c r="B116" s="67">
        <f>IF(E115&gt;0,Assumptions!$D$20,0)</f>
        <v>0</v>
      </c>
      <c r="C116" s="67">
        <f>IF(E115&gt;0,E115*Assumptions!$D$18,0)</f>
        <v>0</v>
      </c>
      <c r="D116" s="67">
        <f t="shared" si="2"/>
        <v>0</v>
      </c>
      <c r="E116" s="63">
        <f t="shared" si="3"/>
        <v>-5104.5511888176043</v>
      </c>
    </row>
    <row r="117" spans="2:5" x14ac:dyDescent="0.25">
      <c r="B117" s="67">
        <f>IF(E116&gt;0,Assumptions!$D$20,0)</f>
        <v>0</v>
      </c>
      <c r="C117" s="67">
        <f>IF(E116&gt;0,E116*Assumptions!$D$18,0)</f>
        <v>0</v>
      </c>
      <c r="D117" s="67">
        <f t="shared" si="2"/>
        <v>0</v>
      </c>
      <c r="E117" s="63">
        <f t="shared" si="3"/>
        <v>-5104.5511888176043</v>
      </c>
    </row>
    <row r="118" spans="2:5" x14ac:dyDescent="0.25">
      <c r="B118" s="67">
        <f>IF(E117&gt;0,Assumptions!$D$20,0)</f>
        <v>0</v>
      </c>
      <c r="C118" s="67">
        <f>IF(E117&gt;0,E117*Assumptions!$D$18,0)</f>
        <v>0</v>
      </c>
      <c r="D118" s="67">
        <f t="shared" si="2"/>
        <v>0</v>
      </c>
      <c r="E118" s="63">
        <f t="shared" si="3"/>
        <v>-5104.5511888176043</v>
      </c>
    </row>
    <row r="119" spans="2:5" x14ac:dyDescent="0.25">
      <c r="B119" s="67">
        <f>IF(E118&gt;0,Assumptions!$D$20,0)</f>
        <v>0</v>
      </c>
      <c r="C119" s="67">
        <f>IF(E118&gt;0,E118*Assumptions!$D$18,0)</f>
        <v>0</v>
      </c>
      <c r="D119" s="67">
        <f t="shared" si="2"/>
        <v>0</v>
      </c>
      <c r="E119" s="63">
        <f t="shared" si="3"/>
        <v>-5104.5511888176043</v>
      </c>
    </row>
    <row r="120" spans="2:5" x14ac:dyDescent="0.25">
      <c r="B120" s="67">
        <f>IF(E119&gt;0,Assumptions!$D$20,0)</f>
        <v>0</v>
      </c>
      <c r="C120" s="67">
        <f>IF(E119&gt;0,E119*Assumptions!$D$18,0)</f>
        <v>0</v>
      </c>
      <c r="D120" s="67">
        <f t="shared" si="2"/>
        <v>0</v>
      </c>
      <c r="E120" s="63">
        <f t="shared" si="3"/>
        <v>-5104.5511888176043</v>
      </c>
    </row>
    <row r="121" spans="2:5" x14ac:dyDescent="0.25">
      <c r="B121" s="67">
        <f>IF(E120&gt;0,Assumptions!$D$20,0)</f>
        <v>0</v>
      </c>
      <c r="C121" s="67">
        <f>IF(E120&gt;0,E120*Assumptions!$D$18,0)</f>
        <v>0</v>
      </c>
      <c r="D121" s="67">
        <f t="shared" si="2"/>
        <v>0</v>
      </c>
      <c r="E121" s="63">
        <f t="shared" si="3"/>
        <v>-5104.5511888176043</v>
      </c>
    </row>
    <row r="122" spans="2:5" x14ac:dyDescent="0.25">
      <c r="B122" s="67">
        <f>IF(E121&gt;0,Assumptions!$D$20,0)</f>
        <v>0</v>
      </c>
      <c r="C122" s="67">
        <f>IF(E121&gt;0,E121*Assumptions!$D$18,0)</f>
        <v>0</v>
      </c>
      <c r="D122" s="67">
        <f t="shared" si="2"/>
        <v>0</v>
      </c>
      <c r="E122" s="63">
        <f t="shared" si="3"/>
        <v>-5104.5511888176043</v>
      </c>
    </row>
    <row r="123" spans="2:5" x14ac:dyDescent="0.25">
      <c r="B123" s="67">
        <f>IF(E122&gt;0,Assumptions!$D$20,0)</f>
        <v>0</v>
      </c>
      <c r="C123" s="67">
        <f>IF(E122&gt;0,E122*Assumptions!$D$18,0)</f>
        <v>0</v>
      </c>
      <c r="D123" s="67">
        <f t="shared" si="2"/>
        <v>0</v>
      </c>
      <c r="E123" s="63">
        <f t="shared" si="3"/>
        <v>-5104.5511888176043</v>
      </c>
    </row>
    <row r="124" spans="2:5" x14ac:dyDescent="0.25">
      <c r="B124" s="67">
        <f>IF(E123&gt;0,Assumptions!$D$20,0)</f>
        <v>0</v>
      </c>
      <c r="C124" s="67">
        <f>IF(E123&gt;0,E123*Assumptions!$D$18,0)</f>
        <v>0</v>
      </c>
      <c r="D124" s="67">
        <f t="shared" si="2"/>
        <v>0</v>
      </c>
      <c r="E124" s="63">
        <f t="shared" si="3"/>
        <v>-5104.5511888176043</v>
      </c>
    </row>
    <row r="125" spans="2:5" x14ac:dyDescent="0.25">
      <c r="B125" s="67">
        <f>IF(E124&gt;0,Assumptions!$D$20,0)</f>
        <v>0</v>
      </c>
      <c r="C125" s="67">
        <f>IF(E124&gt;0,E124*Assumptions!$D$18,0)</f>
        <v>0</v>
      </c>
      <c r="D125" s="67">
        <f t="shared" si="2"/>
        <v>0</v>
      </c>
      <c r="E125" s="63">
        <f t="shared" si="3"/>
        <v>-5104.5511888176043</v>
      </c>
    </row>
    <row r="126" spans="2:5" x14ac:dyDescent="0.25">
      <c r="B126" s="67">
        <f>IF(E125&gt;0,Assumptions!$D$20,0)</f>
        <v>0</v>
      </c>
      <c r="C126" s="67">
        <f>IF(E125&gt;0,E125*Assumptions!$D$18,0)</f>
        <v>0</v>
      </c>
      <c r="D126" s="67">
        <f t="shared" si="2"/>
        <v>0</v>
      </c>
      <c r="E126" s="63">
        <f t="shared" si="3"/>
        <v>-5104.5511888176043</v>
      </c>
    </row>
    <row r="127" spans="2:5" x14ac:dyDescent="0.25">
      <c r="B127" s="67">
        <f>IF(E126&gt;0,Assumptions!$D$20,0)</f>
        <v>0</v>
      </c>
      <c r="C127" s="67">
        <f>IF(E126&gt;0,E126*Assumptions!$D$18,0)</f>
        <v>0</v>
      </c>
      <c r="D127" s="67">
        <f t="shared" si="2"/>
        <v>0</v>
      </c>
      <c r="E127" s="63">
        <f t="shared" si="3"/>
        <v>-5104.5511888176043</v>
      </c>
    </row>
    <row r="128" spans="2:5" x14ac:dyDescent="0.25">
      <c r="B128" s="67">
        <f>IF(E127&gt;0,Assumptions!$D$20,0)</f>
        <v>0</v>
      </c>
      <c r="C128" s="67">
        <f>IF(E127&gt;0,E127*Assumptions!$D$18,0)</f>
        <v>0</v>
      </c>
      <c r="D128" s="67">
        <f t="shared" si="2"/>
        <v>0</v>
      </c>
      <c r="E128" s="63">
        <f t="shared" si="3"/>
        <v>-5104.5511888176043</v>
      </c>
    </row>
    <row r="129" spans="2:5" x14ac:dyDescent="0.25">
      <c r="B129" s="67">
        <f>IF(E128&gt;0,Assumptions!$D$20,0)</f>
        <v>0</v>
      </c>
      <c r="C129" s="67">
        <f>IF(E128&gt;0,E128*Assumptions!$D$18,0)</f>
        <v>0</v>
      </c>
      <c r="D129" s="67">
        <f t="shared" si="2"/>
        <v>0</v>
      </c>
      <c r="E129" s="63">
        <f t="shared" si="3"/>
        <v>-5104.5511888176043</v>
      </c>
    </row>
    <row r="130" spans="2:5" x14ac:dyDescent="0.25">
      <c r="B130" s="67">
        <f>IF(E129&gt;0,Assumptions!$D$20,0)</f>
        <v>0</v>
      </c>
      <c r="C130" s="67">
        <f>IF(E129&gt;0,E129*Assumptions!$D$18,0)</f>
        <v>0</v>
      </c>
      <c r="D130" s="67">
        <f t="shared" si="2"/>
        <v>0</v>
      </c>
      <c r="E130" s="63">
        <f t="shared" si="3"/>
        <v>-5104.5511888176043</v>
      </c>
    </row>
    <row r="131" spans="2:5" x14ac:dyDescent="0.25">
      <c r="B131" s="67">
        <f>IF(E130&gt;0,Assumptions!$D$20,0)</f>
        <v>0</v>
      </c>
      <c r="C131" s="67">
        <f>IF(E130&gt;0,E130*Assumptions!$D$18,0)</f>
        <v>0</v>
      </c>
      <c r="D131" s="67">
        <f t="shared" si="2"/>
        <v>0</v>
      </c>
      <c r="E131" s="63">
        <f t="shared" si="3"/>
        <v>-5104.5511888176043</v>
      </c>
    </row>
    <row r="132" spans="2:5" x14ac:dyDescent="0.25">
      <c r="B132" s="67">
        <f>IF(E131&gt;0,Assumptions!$D$20,0)</f>
        <v>0</v>
      </c>
      <c r="C132" s="67">
        <f>IF(E131&gt;0,E131*Assumptions!$D$18,0)</f>
        <v>0</v>
      </c>
      <c r="D132" s="67">
        <f t="shared" si="2"/>
        <v>0</v>
      </c>
      <c r="E132" s="63">
        <f t="shared" si="3"/>
        <v>-5104.5511888176043</v>
      </c>
    </row>
    <row r="133" spans="2:5" x14ac:dyDescent="0.25">
      <c r="B133" s="67">
        <f>IF(E132&gt;0,Assumptions!$D$20,0)</f>
        <v>0</v>
      </c>
      <c r="C133" s="67">
        <f>IF(E132&gt;0,E132*Assumptions!$D$18,0)</f>
        <v>0</v>
      </c>
      <c r="D133" s="67">
        <f t="shared" si="2"/>
        <v>0</v>
      </c>
      <c r="E133" s="63">
        <f t="shared" si="3"/>
        <v>-5104.5511888176043</v>
      </c>
    </row>
    <row r="134" spans="2:5" x14ac:dyDescent="0.25">
      <c r="B134" s="67">
        <f>IF(E133&gt;0,Assumptions!$D$20,0)</f>
        <v>0</v>
      </c>
      <c r="C134" s="67">
        <f>IF(E133&gt;0,E133*Assumptions!$D$18,0)</f>
        <v>0</v>
      </c>
      <c r="D134" s="67">
        <f t="shared" si="2"/>
        <v>0</v>
      </c>
      <c r="E134" s="63">
        <f t="shared" si="3"/>
        <v>-5104.5511888176043</v>
      </c>
    </row>
    <row r="135" spans="2:5" x14ac:dyDescent="0.25">
      <c r="B135" s="67">
        <f>IF(E134&gt;0,Assumptions!$D$20,0)</f>
        <v>0</v>
      </c>
      <c r="C135" s="67">
        <f>IF(E134&gt;0,E134*Assumptions!$D$18,0)</f>
        <v>0</v>
      </c>
      <c r="D135" s="67">
        <f t="shared" ref="D135:D198" si="4">B135-C135</f>
        <v>0</v>
      </c>
      <c r="E135" s="63">
        <f t="shared" ref="E135:E198" si="5">E134-D135</f>
        <v>-5104.5511888176043</v>
      </c>
    </row>
    <row r="136" spans="2:5" x14ac:dyDescent="0.25">
      <c r="B136" s="67">
        <f>IF(E135&gt;0,Assumptions!$D$20,0)</f>
        <v>0</v>
      </c>
      <c r="C136" s="67">
        <f>IF(E135&gt;0,E135*Assumptions!$D$18,0)</f>
        <v>0</v>
      </c>
      <c r="D136" s="67">
        <f t="shared" si="4"/>
        <v>0</v>
      </c>
      <c r="E136" s="63">
        <f t="shared" si="5"/>
        <v>-5104.5511888176043</v>
      </c>
    </row>
    <row r="137" spans="2:5" x14ac:dyDescent="0.25">
      <c r="B137" s="67">
        <f>IF(E136&gt;0,Assumptions!$D$20,0)</f>
        <v>0</v>
      </c>
      <c r="C137" s="67">
        <f>IF(E136&gt;0,E136*Assumptions!$D$18,0)</f>
        <v>0</v>
      </c>
      <c r="D137" s="67">
        <f t="shared" si="4"/>
        <v>0</v>
      </c>
      <c r="E137" s="63">
        <f t="shared" si="5"/>
        <v>-5104.5511888176043</v>
      </c>
    </row>
    <row r="138" spans="2:5" x14ac:dyDescent="0.25">
      <c r="B138" s="67">
        <f>IF(E137&gt;0,Assumptions!$D$20,0)</f>
        <v>0</v>
      </c>
      <c r="C138" s="67">
        <f>IF(E137&gt;0,E137*Assumptions!$D$18,0)</f>
        <v>0</v>
      </c>
      <c r="D138" s="67">
        <f t="shared" si="4"/>
        <v>0</v>
      </c>
      <c r="E138" s="63">
        <f t="shared" si="5"/>
        <v>-5104.5511888176043</v>
      </c>
    </row>
    <row r="139" spans="2:5" x14ac:dyDescent="0.25">
      <c r="B139" s="67">
        <f>IF(E138&gt;0,Assumptions!$D$20,0)</f>
        <v>0</v>
      </c>
      <c r="C139" s="67">
        <f>IF(E138&gt;0,E138*Assumptions!$D$18,0)</f>
        <v>0</v>
      </c>
      <c r="D139" s="67">
        <f t="shared" si="4"/>
        <v>0</v>
      </c>
      <c r="E139" s="63">
        <f t="shared" si="5"/>
        <v>-5104.5511888176043</v>
      </c>
    </row>
    <row r="140" spans="2:5" x14ac:dyDescent="0.25">
      <c r="B140" s="67">
        <f>IF(E139&gt;0,Assumptions!$D$20,0)</f>
        <v>0</v>
      </c>
      <c r="C140" s="67">
        <f>IF(E139&gt;0,E139*Assumptions!$D$18,0)</f>
        <v>0</v>
      </c>
      <c r="D140" s="67">
        <f t="shared" si="4"/>
        <v>0</v>
      </c>
      <c r="E140" s="63">
        <f t="shared" si="5"/>
        <v>-5104.5511888176043</v>
      </c>
    </row>
    <row r="141" spans="2:5" x14ac:dyDescent="0.25">
      <c r="B141" s="67">
        <f>IF(E140&gt;0,Assumptions!$D$20,0)</f>
        <v>0</v>
      </c>
      <c r="C141" s="67">
        <f>IF(E140&gt;0,E140*Assumptions!$D$18,0)</f>
        <v>0</v>
      </c>
      <c r="D141" s="67">
        <f t="shared" si="4"/>
        <v>0</v>
      </c>
      <c r="E141" s="63">
        <f t="shared" si="5"/>
        <v>-5104.5511888176043</v>
      </c>
    </row>
    <row r="142" spans="2:5" x14ac:dyDescent="0.25">
      <c r="B142" s="67">
        <f>IF(E141&gt;0,Assumptions!$D$20,0)</f>
        <v>0</v>
      </c>
      <c r="C142" s="67">
        <f>IF(E141&gt;0,E141*Assumptions!$D$18,0)</f>
        <v>0</v>
      </c>
      <c r="D142" s="67">
        <f t="shared" si="4"/>
        <v>0</v>
      </c>
      <c r="E142" s="63">
        <f t="shared" si="5"/>
        <v>-5104.5511888176043</v>
      </c>
    </row>
    <row r="143" spans="2:5" x14ac:dyDescent="0.25">
      <c r="B143" s="67">
        <f>IF(E142&gt;0,Assumptions!$D$20,0)</f>
        <v>0</v>
      </c>
      <c r="C143" s="67">
        <f>IF(E142&gt;0,E142*Assumptions!$D$18,0)</f>
        <v>0</v>
      </c>
      <c r="D143" s="67">
        <f t="shared" si="4"/>
        <v>0</v>
      </c>
      <c r="E143" s="63">
        <f t="shared" si="5"/>
        <v>-5104.5511888176043</v>
      </c>
    </row>
    <row r="144" spans="2:5" x14ac:dyDescent="0.25">
      <c r="B144" s="67">
        <f>IF(E143&gt;0,Assumptions!$D$20,0)</f>
        <v>0</v>
      </c>
      <c r="C144" s="67">
        <f>IF(E143&gt;0,E143*Assumptions!$D$18,0)</f>
        <v>0</v>
      </c>
      <c r="D144" s="67">
        <f t="shared" si="4"/>
        <v>0</v>
      </c>
      <c r="E144" s="63">
        <f t="shared" si="5"/>
        <v>-5104.5511888176043</v>
      </c>
    </row>
    <row r="145" spans="2:5" x14ac:dyDescent="0.25">
      <c r="B145" s="67">
        <f>IF(E144&gt;0,Assumptions!$D$20,0)</f>
        <v>0</v>
      </c>
      <c r="C145" s="67">
        <f>IF(E144&gt;0,E144*Assumptions!$D$18,0)</f>
        <v>0</v>
      </c>
      <c r="D145" s="67">
        <f t="shared" si="4"/>
        <v>0</v>
      </c>
      <c r="E145" s="63">
        <f t="shared" si="5"/>
        <v>-5104.5511888176043</v>
      </c>
    </row>
    <row r="146" spans="2:5" x14ac:dyDescent="0.25">
      <c r="B146" s="67">
        <f>IF(E145&gt;0,Assumptions!$D$20,0)</f>
        <v>0</v>
      </c>
      <c r="C146" s="67">
        <f>IF(E145&gt;0,E145*Assumptions!$D$18,0)</f>
        <v>0</v>
      </c>
      <c r="D146" s="67">
        <f t="shared" si="4"/>
        <v>0</v>
      </c>
      <c r="E146" s="63">
        <f t="shared" si="5"/>
        <v>-5104.5511888176043</v>
      </c>
    </row>
    <row r="147" spans="2:5" x14ac:dyDescent="0.25">
      <c r="B147" s="67">
        <f>IF(E146&gt;0,Assumptions!$D$20,0)</f>
        <v>0</v>
      </c>
      <c r="C147" s="67">
        <f>IF(E146&gt;0,E146*Assumptions!$D$18,0)</f>
        <v>0</v>
      </c>
      <c r="D147" s="67">
        <f t="shared" si="4"/>
        <v>0</v>
      </c>
      <c r="E147" s="63">
        <f t="shared" si="5"/>
        <v>-5104.5511888176043</v>
      </c>
    </row>
    <row r="148" spans="2:5" x14ac:dyDescent="0.25">
      <c r="B148" s="67">
        <f>IF(E147&gt;0,Assumptions!$D$20,0)</f>
        <v>0</v>
      </c>
      <c r="C148" s="67">
        <f>IF(E147&gt;0,E147*Assumptions!$D$18,0)</f>
        <v>0</v>
      </c>
      <c r="D148" s="67">
        <f t="shared" si="4"/>
        <v>0</v>
      </c>
      <c r="E148" s="63">
        <f t="shared" si="5"/>
        <v>-5104.5511888176043</v>
      </c>
    </row>
    <row r="149" spans="2:5" x14ac:dyDescent="0.25">
      <c r="B149" s="67">
        <f>IF(E148&gt;0,Assumptions!$D$20,0)</f>
        <v>0</v>
      </c>
      <c r="C149" s="67">
        <f>IF(E148&gt;0,E148*Assumptions!$D$18,0)</f>
        <v>0</v>
      </c>
      <c r="D149" s="67">
        <f t="shared" si="4"/>
        <v>0</v>
      </c>
      <c r="E149" s="63">
        <f t="shared" si="5"/>
        <v>-5104.5511888176043</v>
      </c>
    </row>
    <row r="150" spans="2:5" x14ac:dyDescent="0.25">
      <c r="B150" s="67">
        <f>IF(E149&gt;0,Assumptions!$D$20,0)</f>
        <v>0</v>
      </c>
      <c r="C150" s="67">
        <f>IF(E149&gt;0,E149*Assumptions!$D$18,0)</f>
        <v>0</v>
      </c>
      <c r="D150" s="67">
        <f t="shared" si="4"/>
        <v>0</v>
      </c>
      <c r="E150" s="63">
        <f t="shared" si="5"/>
        <v>-5104.5511888176043</v>
      </c>
    </row>
    <row r="151" spans="2:5" x14ac:dyDescent="0.25">
      <c r="B151" s="67">
        <f>IF(E150&gt;0,Assumptions!$D$20,0)</f>
        <v>0</v>
      </c>
      <c r="C151" s="67">
        <f>IF(E150&gt;0,E150*Assumptions!$D$18,0)</f>
        <v>0</v>
      </c>
      <c r="D151" s="67">
        <f t="shared" si="4"/>
        <v>0</v>
      </c>
      <c r="E151" s="63">
        <f t="shared" si="5"/>
        <v>-5104.5511888176043</v>
      </c>
    </row>
    <row r="152" spans="2:5" x14ac:dyDescent="0.25">
      <c r="B152" s="67">
        <f>IF(E151&gt;0,Assumptions!$D$20,0)</f>
        <v>0</v>
      </c>
      <c r="C152" s="67">
        <f>IF(E151&gt;0,E151*Assumptions!$D$18,0)</f>
        <v>0</v>
      </c>
      <c r="D152" s="67">
        <f t="shared" si="4"/>
        <v>0</v>
      </c>
      <c r="E152" s="63">
        <f t="shared" si="5"/>
        <v>-5104.5511888176043</v>
      </c>
    </row>
    <row r="153" spans="2:5" x14ac:dyDescent="0.25">
      <c r="B153" s="67">
        <f>IF(E152&gt;0,Assumptions!$D$20,0)</f>
        <v>0</v>
      </c>
      <c r="C153" s="67">
        <f>IF(E152&gt;0,E152*Assumptions!$D$18,0)</f>
        <v>0</v>
      </c>
      <c r="D153" s="67">
        <f t="shared" si="4"/>
        <v>0</v>
      </c>
      <c r="E153" s="63">
        <f t="shared" si="5"/>
        <v>-5104.5511888176043</v>
      </c>
    </row>
    <row r="154" spans="2:5" x14ac:dyDescent="0.25">
      <c r="B154" s="67">
        <f>IF(E153&gt;0,Assumptions!$D$20,0)</f>
        <v>0</v>
      </c>
      <c r="C154" s="67">
        <f>IF(E153&gt;0,E153*Assumptions!$D$18,0)</f>
        <v>0</v>
      </c>
      <c r="D154" s="67">
        <f t="shared" si="4"/>
        <v>0</v>
      </c>
      <c r="E154" s="63">
        <f t="shared" si="5"/>
        <v>-5104.5511888176043</v>
      </c>
    </row>
    <row r="155" spans="2:5" x14ac:dyDescent="0.25">
      <c r="B155" s="67">
        <f>IF(E154&gt;0,Assumptions!$D$20,0)</f>
        <v>0</v>
      </c>
      <c r="C155" s="67">
        <f>IF(E154&gt;0,E154*Assumptions!$D$18,0)</f>
        <v>0</v>
      </c>
      <c r="D155" s="67">
        <f t="shared" si="4"/>
        <v>0</v>
      </c>
      <c r="E155" s="63">
        <f t="shared" si="5"/>
        <v>-5104.5511888176043</v>
      </c>
    </row>
    <row r="156" spans="2:5" x14ac:dyDescent="0.25">
      <c r="B156" s="67">
        <f>IF(E155&gt;0,Assumptions!$D$20,0)</f>
        <v>0</v>
      </c>
      <c r="C156" s="67">
        <f>IF(E155&gt;0,E155*Assumptions!$D$18,0)</f>
        <v>0</v>
      </c>
      <c r="D156" s="67">
        <f t="shared" si="4"/>
        <v>0</v>
      </c>
      <c r="E156" s="63">
        <f t="shared" si="5"/>
        <v>-5104.5511888176043</v>
      </c>
    </row>
    <row r="157" spans="2:5" x14ac:dyDescent="0.25">
      <c r="B157" s="67">
        <f>IF(E156&gt;0,Assumptions!$D$20,0)</f>
        <v>0</v>
      </c>
      <c r="C157" s="67">
        <f>IF(E156&gt;0,E156*Assumptions!$D$18,0)</f>
        <v>0</v>
      </c>
      <c r="D157" s="67">
        <f t="shared" si="4"/>
        <v>0</v>
      </c>
      <c r="E157" s="63">
        <f t="shared" si="5"/>
        <v>-5104.5511888176043</v>
      </c>
    </row>
    <row r="158" spans="2:5" x14ac:dyDescent="0.25">
      <c r="B158" s="67">
        <f>IF(E157&gt;0,Assumptions!$D$20,0)</f>
        <v>0</v>
      </c>
      <c r="C158" s="67">
        <f>IF(E157&gt;0,E157*Assumptions!$D$18,0)</f>
        <v>0</v>
      </c>
      <c r="D158" s="67">
        <f t="shared" si="4"/>
        <v>0</v>
      </c>
      <c r="E158" s="63">
        <f t="shared" si="5"/>
        <v>-5104.5511888176043</v>
      </c>
    </row>
    <row r="159" spans="2:5" x14ac:dyDescent="0.25">
      <c r="B159" s="67">
        <f>IF(E158&gt;0,Assumptions!$D$20,0)</f>
        <v>0</v>
      </c>
      <c r="C159" s="67">
        <f>IF(E158&gt;0,E158*Assumptions!$D$18,0)</f>
        <v>0</v>
      </c>
      <c r="D159" s="67">
        <f t="shared" si="4"/>
        <v>0</v>
      </c>
      <c r="E159" s="63">
        <f t="shared" si="5"/>
        <v>-5104.5511888176043</v>
      </c>
    </row>
    <row r="160" spans="2:5" x14ac:dyDescent="0.25">
      <c r="B160" s="67">
        <f>IF(E159&gt;0,Assumptions!$D$20,0)</f>
        <v>0</v>
      </c>
      <c r="C160" s="67">
        <f>IF(E159&gt;0,E159*Assumptions!$D$18,0)</f>
        <v>0</v>
      </c>
      <c r="D160" s="67">
        <f t="shared" si="4"/>
        <v>0</v>
      </c>
      <c r="E160" s="63">
        <f t="shared" si="5"/>
        <v>-5104.5511888176043</v>
      </c>
    </row>
    <row r="161" spans="2:5" x14ac:dyDescent="0.25">
      <c r="B161" s="67">
        <f>IF(E160&gt;0,Assumptions!$D$20,0)</f>
        <v>0</v>
      </c>
      <c r="C161" s="67">
        <f>IF(E160&gt;0,E160*Assumptions!$D$18,0)</f>
        <v>0</v>
      </c>
      <c r="D161" s="67">
        <f t="shared" si="4"/>
        <v>0</v>
      </c>
      <c r="E161" s="63">
        <f t="shared" si="5"/>
        <v>-5104.5511888176043</v>
      </c>
    </row>
    <row r="162" spans="2:5" x14ac:dyDescent="0.25">
      <c r="B162" s="67">
        <f>IF(E161&gt;0,Assumptions!$D$20,0)</f>
        <v>0</v>
      </c>
      <c r="C162" s="67">
        <f>IF(E161&gt;0,E161*Assumptions!$D$18,0)</f>
        <v>0</v>
      </c>
      <c r="D162" s="67">
        <f t="shared" si="4"/>
        <v>0</v>
      </c>
      <c r="E162" s="63">
        <f t="shared" si="5"/>
        <v>-5104.5511888176043</v>
      </c>
    </row>
    <row r="163" spans="2:5" x14ac:dyDescent="0.25">
      <c r="B163" s="67">
        <f>IF(E162&gt;0,Assumptions!$D$20,0)</f>
        <v>0</v>
      </c>
      <c r="C163" s="67">
        <f>IF(E162&gt;0,E162*Assumptions!$D$18,0)</f>
        <v>0</v>
      </c>
      <c r="D163" s="67">
        <f t="shared" si="4"/>
        <v>0</v>
      </c>
      <c r="E163" s="63">
        <f t="shared" si="5"/>
        <v>-5104.5511888176043</v>
      </c>
    </row>
    <row r="164" spans="2:5" x14ac:dyDescent="0.25">
      <c r="B164" s="67">
        <f>IF(E163&gt;0,Assumptions!$D$20,0)</f>
        <v>0</v>
      </c>
      <c r="C164" s="67">
        <f>IF(E163&gt;0,E163*Assumptions!$D$18,0)</f>
        <v>0</v>
      </c>
      <c r="D164" s="67">
        <f t="shared" si="4"/>
        <v>0</v>
      </c>
      <c r="E164" s="63">
        <f t="shared" si="5"/>
        <v>-5104.5511888176043</v>
      </c>
    </row>
    <row r="165" spans="2:5" x14ac:dyDescent="0.25">
      <c r="B165" s="67">
        <f>IF(E164&gt;0,Assumptions!$D$20,0)</f>
        <v>0</v>
      </c>
      <c r="C165" s="67">
        <f>IF(E164&gt;0,E164*Assumptions!$D$18,0)</f>
        <v>0</v>
      </c>
      <c r="D165" s="67">
        <f t="shared" si="4"/>
        <v>0</v>
      </c>
      <c r="E165" s="63">
        <f t="shared" si="5"/>
        <v>-5104.5511888176043</v>
      </c>
    </row>
    <row r="166" spans="2:5" x14ac:dyDescent="0.25">
      <c r="B166" s="67">
        <f>IF(E165&gt;0,Assumptions!$D$20,0)</f>
        <v>0</v>
      </c>
      <c r="C166" s="67">
        <f>IF(E165&gt;0,E165*Assumptions!$D$18,0)</f>
        <v>0</v>
      </c>
      <c r="D166" s="67">
        <f t="shared" si="4"/>
        <v>0</v>
      </c>
      <c r="E166" s="63">
        <f t="shared" si="5"/>
        <v>-5104.5511888176043</v>
      </c>
    </row>
    <row r="167" spans="2:5" x14ac:dyDescent="0.25">
      <c r="B167" s="67">
        <f>IF(E166&gt;0,Assumptions!$D$20,0)</f>
        <v>0</v>
      </c>
      <c r="C167" s="67">
        <f>IF(E166&gt;0,E166*Assumptions!$D$18,0)</f>
        <v>0</v>
      </c>
      <c r="D167" s="67">
        <f t="shared" si="4"/>
        <v>0</v>
      </c>
      <c r="E167" s="63">
        <f t="shared" si="5"/>
        <v>-5104.5511888176043</v>
      </c>
    </row>
    <row r="168" spans="2:5" x14ac:dyDescent="0.25">
      <c r="B168" s="67">
        <f>IF(E167&gt;0,Assumptions!$D$20,0)</f>
        <v>0</v>
      </c>
      <c r="C168" s="67">
        <f>IF(E167&gt;0,E167*Assumptions!$D$18,0)</f>
        <v>0</v>
      </c>
      <c r="D168" s="67">
        <f t="shared" si="4"/>
        <v>0</v>
      </c>
      <c r="E168" s="63">
        <f t="shared" si="5"/>
        <v>-5104.5511888176043</v>
      </c>
    </row>
    <row r="169" spans="2:5" x14ac:dyDescent="0.25">
      <c r="B169" s="67">
        <f>IF(E168&gt;0,Assumptions!$D$20,0)</f>
        <v>0</v>
      </c>
      <c r="C169" s="67">
        <f>IF(E168&gt;0,E168*Assumptions!$D$18,0)</f>
        <v>0</v>
      </c>
      <c r="D169" s="67">
        <f t="shared" si="4"/>
        <v>0</v>
      </c>
      <c r="E169" s="63">
        <f t="shared" si="5"/>
        <v>-5104.5511888176043</v>
      </c>
    </row>
    <row r="170" spans="2:5" x14ac:dyDescent="0.25">
      <c r="B170" s="67">
        <f>IF(E169&gt;0,Assumptions!$D$20,0)</f>
        <v>0</v>
      </c>
      <c r="C170" s="67">
        <f>IF(E169&gt;0,E169*Assumptions!$D$18,0)</f>
        <v>0</v>
      </c>
      <c r="D170" s="67">
        <f t="shared" si="4"/>
        <v>0</v>
      </c>
      <c r="E170" s="63">
        <f t="shared" si="5"/>
        <v>-5104.5511888176043</v>
      </c>
    </row>
    <row r="171" spans="2:5" x14ac:dyDescent="0.25">
      <c r="B171" s="67">
        <f>IF(E170&gt;0,Assumptions!$D$20,0)</f>
        <v>0</v>
      </c>
      <c r="C171" s="67">
        <f>IF(E170&gt;0,E170*Assumptions!$D$18,0)</f>
        <v>0</v>
      </c>
      <c r="D171" s="67">
        <f t="shared" si="4"/>
        <v>0</v>
      </c>
      <c r="E171" s="63">
        <f t="shared" si="5"/>
        <v>-5104.5511888176043</v>
      </c>
    </row>
    <row r="172" spans="2:5" x14ac:dyDescent="0.25">
      <c r="B172" s="67">
        <f>IF(E171&gt;0,Assumptions!$D$20,0)</f>
        <v>0</v>
      </c>
      <c r="C172" s="67">
        <f>IF(E171&gt;0,E171*Assumptions!$D$18,0)</f>
        <v>0</v>
      </c>
      <c r="D172" s="67">
        <f t="shared" si="4"/>
        <v>0</v>
      </c>
      <c r="E172" s="63">
        <f t="shared" si="5"/>
        <v>-5104.5511888176043</v>
      </c>
    </row>
    <row r="173" spans="2:5" x14ac:dyDescent="0.25">
      <c r="B173" s="67">
        <f>IF(E172&gt;0,Assumptions!$D$20,0)</f>
        <v>0</v>
      </c>
      <c r="C173" s="67">
        <f>IF(E172&gt;0,E172*Assumptions!$D$18,0)</f>
        <v>0</v>
      </c>
      <c r="D173" s="67">
        <f t="shared" si="4"/>
        <v>0</v>
      </c>
      <c r="E173" s="63">
        <f t="shared" si="5"/>
        <v>-5104.5511888176043</v>
      </c>
    </row>
    <row r="174" spans="2:5" x14ac:dyDescent="0.25">
      <c r="B174" s="67">
        <f>IF(E173&gt;0,Assumptions!$D$20,0)</f>
        <v>0</v>
      </c>
      <c r="C174" s="67">
        <f>IF(E173&gt;0,E173*Assumptions!$D$18,0)</f>
        <v>0</v>
      </c>
      <c r="D174" s="67">
        <f t="shared" si="4"/>
        <v>0</v>
      </c>
      <c r="E174" s="63">
        <f t="shared" si="5"/>
        <v>-5104.5511888176043</v>
      </c>
    </row>
    <row r="175" spans="2:5" x14ac:dyDescent="0.25">
      <c r="B175" s="67">
        <f>IF(E174&gt;0,Assumptions!$D$20,0)</f>
        <v>0</v>
      </c>
      <c r="C175" s="67">
        <f>IF(E174&gt;0,E174*Assumptions!$D$18,0)</f>
        <v>0</v>
      </c>
      <c r="D175" s="67">
        <f t="shared" si="4"/>
        <v>0</v>
      </c>
      <c r="E175" s="63">
        <f t="shared" si="5"/>
        <v>-5104.5511888176043</v>
      </c>
    </row>
    <row r="176" spans="2:5" x14ac:dyDescent="0.25">
      <c r="B176" s="67">
        <f>IF(E175&gt;0,Assumptions!$D$20,0)</f>
        <v>0</v>
      </c>
      <c r="C176" s="67">
        <f>IF(E175&gt;0,E175*Assumptions!$D$18,0)</f>
        <v>0</v>
      </c>
      <c r="D176" s="67">
        <f t="shared" si="4"/>
        <v>0</v>
      </c>
      <c r="E176" s="63">
        <f t="shared" si="5"/>
        <v>-5104.5511888176043</v>
      </c>
    </row>
    <row r="177" spans="2:5" x14ac:dyDescent="0.25">
      <c r="B177" s="67">
        <f>IF(E176&gt;0,Assumptions!$D$20,0)</f>
        <v>0</v>
      </c>
      <c r="C177" s="67">
        <f>IF(E176&gt;0,E176*Assumptions!$D$18,0)</f>
        <v>0</v>
      </c>
      <c r="D177" s="67">
        <f t="shared" si="4"/>
        <v>0</v>
      </c>
      <c r="E177" s="63">
        <f t="shared" si="5"/>
        <v>-5104.5511888176043</v>
      </c>
    </row>
    <row r="178" spans="2:5" x14ac:dyDescent="0.25">
      <c r="B178" s="67">
        <f>IF(E177&gt;0,Assumptions!$D$20,0)</f>
        <v>0</v>
      </c>
      <c r="C178" s="67">
        <f>IF(E177&gt;0,E177*Assumptions!$D$18,0)</f>
        <v>0</v>
      </c>
      <c r="D178" s="67">
        <f t="shared" si="4"/>
        <v>0</v>
      </c>
      <c r="E178" s="63">
        <f t="shared" si="5"/>
        <v>-5104.5511888176043</v>
      </c>
    </row>
    <row r="179" spans="2:5" x14ac:dyDescent="0.25">
      <c r="B179" s="67">
        <f>IF(E178&gt;0,Assumptions!$D$20,0)</f>
        <v>0</v>
      </c>
      <c r="C179" s="67">
        <f>IF(E178&gt;0,E178*Assumptions!$D$18,0)</f>
        <v>0</v>
      </c>
      <c r="D179" s="67">
        <f t="shared" si="4"/>
        <v>0</v>
      </c>
      <c r="E179" s="63">
        <f t="shared" si="5"/>
        <v>-5104.5511888176043</v>
      </c>
    </row>
    <row r="180" spans="2:5" x14ac:dyDescent="0.25">
      <c r="B180" s="67">
        <f>IF(E179&gt;0,Assumptions!$D$20,0)</f>
        <v>0</v>
      </c>
      <c r="C180" s="67">
        <f>IF(E179&gt;0,E179*Assumptions!$D$18,0)</f>
        <v>0</v>
      </c>
      <c r="D180" s="67">
        <f t="shared" si="4"/>
        <v>0</v>
      </c>
      <c r="E180" s="63">
        <f t="shared" si="5"/>
        <v>-5104.5511888176043</v>
      </c>
    </row>
    <row r="181" spans="2:5" x14ac:dyDescent="0.25">
      <c r="B181" s="67">
        <f>IF(E180&gt;0,Assumptions!$D$20,0)</f>
        <v>0</v>
      </c>
      <c r="C181" s="67">
        <f>IF(E180&gt;0,E180*Assumptions!$D$18,0)</f>
        <v>0</v>
      </c>
      <c r="D181" s="67">
        <f t="shared" si="4"/>
        <v>0</v>
      </c>
      <c r="E181" s="63">
        <f t="shared" si="5"/>
        <v>-5104.5511888176043</v>
      </c>
    </row>
    <row r="182" spans="2:5" x14ac:dyDescent="0.25">
      <c r="B182" s="67">
        <f>IF(E181&gt;0,Assumptions!$D$20,0)</f>
        <v>0</v>
      </c>
      <c r="C182" s="67">
        <f>IF(E181&gt;0,E181*Assumptions!$D$18,0)</f>
        <v>0</v>
      </c>
      <c r="D182" s="67">
        <f t="shared" si="4"/>
        <v>0</v>
      </c>
      <c r="E182" s="63">
        <f t="shared" si="5"/>
        <v>-5104.5511888176043</v>
      </c>
    </row>
    <row r="183" spans="2:5" x14ac:dyDescent="0.25">
      <c r="B183" s="67">
        <f>IF(E182&gt;0,Assumptions!$D$20,0)</f>
        <v>0</v>
      </c>
      <c r="C183" s="67">
        <f>IF(E182&gt;0,E182*Assumptions!$D$18,0)</f>
        <v>0</v>
      </c>
      <c r="D183" s="67">
        <f t="shared" si="4"/>
        <v>0</v>
      </c>
      <c r="E183" s="63">
        <f t="shared" si="5"/>
        <v>-5104.5511888176043</v>
      </c>
    </row>
    <row r="184" spans="2:5" x14ac:dyDescent="0.25">
      <c r="B184" s="67">
        <f>IF(E183&gt;0,Assumptions!$D$20,0)</f>
        <v>0</v>
      </c>
      <c r="C184" s="67">
        <f>IF(E183&gt;0,E183*Assumptions!$D$18,0)</f>
        <v>0</v>
      </c>
      <c r="D184" s="67">
        <f t="shared" si="4"/>
        <v>0</v>
      </c>
      <c r="E184" s="63">
        <f t="shared" si="5"/>
        <v>-5104.5511888176043</v>
      </c>
    </row>
    <row r="185" spans="2:5" x14ac:dyDescent="0.25">
      <c r="B185" s="67">
        <f>IF(E184&gt;0,Assumptions!$D$20,0)</f>
        <v>0</v>
      </c>
      <c r="C185" s="67">
        <f>IF(E184&gt;0,E184*Assumptions!$D$18,0)</f>
        <v>0</v>
      </c>
      <c r="D185" s="67">
        <f t="shared" si="4"/>
        <v>0</v>
      </c>
      <c r="E185" s="63">
        <f t="shared" si="5"/>
        <v>-5104.5511888176043</v>
      </c>
    </row>
    <row r="186" spans="2:5" x14ac:dyDescent="0.25">
      <c r="B186" s="67">
        <f>IF(E185&gt;0,Assumptions!$D$20,0)</f>
        <v>0</v>
      </c>
      <c r="C186" s="67">
        <f>IF(E185&gt;0,E185*Assumptions!$D$18,0)</f>
        <v>0</v>
      </c>
      <c r="D186" s="67">
        <f t="shared" si="4"/>
        <v>0</v>
      </c>
      <c r="E186" s="63">
        <f t="shared" si="5"/>
        <v>-5104.5511888176043</v>
      </c>
    </row>
    <row r="187" spans="2:5" x14ac:dyDescent="0.25">
      <c r="B187" s="67">
        <f>IF(E186&gt;0,Assumptions!$D$20,0)</f>
        <v>0</v>
      </c>
      <c r="C187" s="67">
        <f>IF(E186&gt;0,E186*Assumptions!$D$18,0)</f>
        <v>0</v>
      </c>
      <c r="D187" s="67">
        <f t="shared" si="4"/>
        <v>0</v>
      </c>
      <c r="E187" s="63">
        <f t="shared" si="5"/>
        <v>-5104.5511888176043</v>
      </c>
    </row>
    <row r="188" spans="2:5" x14ac:dyDescent="0.25">
      <c r="B188" s="67">
        <f>IF(E187&gt;0,Assumptions!$D$20,0)</f>
        <v>0</v>
      </c>
      <c r="C188" s="67">
        <f>IF(E187&gt;0,E187*Assumptions!$D$18,0)</f>
        <v>0</v>
      </c>
      <c r="D188" s="67">
        <f t="shared" si="4"/>
        <v>0</v>
      </c>
      <c r="E188" s="63">
        <f t="shared" si="5"/>
        <v>-5104.5511888176043</v>
      </c>
    </row>
    <row r="189" spans="2:5" x14ac:dyDescent="0.25">
      <c r="B189" s="67">
        <f>IF(E188&gt;0,Assumptions!$D$20,0)</f>
        <v>0</v>
      </c>
      <c r="C189" s="67">
        <f>IF(E188&gt;0,E188*Assumptions!$D$18,0)</f>
        <v>0</v>
      </c>
      <c r="D189" s="67">
        <f t="shared" si="4"/>
        <v>0</v>
      </c>
      <c r="E189" s="63">
        <f t="shared" si="5"/>
        <v>-5104.5511888176043</v>
      </c>
    </row>
    <row r="190" spans="2:5" x14ac:dyDescent="0.25">
      <c r="B190" s="67">
        <f>IF(E189&gt;0,Assumptions!$D$20,0)</f>
        <v>0</v>
      </c>
      <c r="C190" s="67">
        <f>IF(E189&gt;0,E189*Assumptions!$D$18,0)</f>
        <v>0</v>
      </c>
      <c r="D190" s="67">
        <f t="shared" si="4"/>
        <v>0</v>
      </c>
      <c r="E190" s="63">
        <f t="shared" si="5"/>
        <v>-5104.5511888176043</v>
      </c>
    </row>
    <row r="191" spans="2:5" x14ac:dyDescent="0.25">
      <c r="B191" s="67">
        <f>IF(E190&gt;0,Assumptions!$D$20,0)</f>
        <v>0</v>
      </c>
      <c r="C191" s="67">
        <f>IF(E190&gt;0,E190*Assumptions!$D$18,0)</f>
        <v>0</v>
      </c>
      <c r="D191" s="67">
        <f t="shared" si="4"/>
        <v>0</v>
      </c>
      <c r="E191" s="63">
        <f t="shared" si="5"/>
        <v>-5104.5511888176043</v>
      </c>
    </row>
    <row r="192" spans="2:5" x14ac:dyDescent="0.25">
      <c r="B192" s="67">
        <f>IF(E191&gt;0,Assumptions!$D$20,0)</f>
        <v>0</v>
      </c>
      <c r="C192" s="67">
        <f>IF(E191&gt;0,E191*Assumptions!$D$18,0)</f>
        <v>0</v>
      </c>
      <c r="D192" s="67">
        <f t="shared" si="4"/>
        <v>0</v>
      </c>
      <c r="E192" s="63">
        <f t="shared" si="5"/>
        <v>-5104.5511888176043</v>
      </c>
    </row>
    <row r="193" spans="2:5" x14ac:dyDescent="0.25">
      <c r="B193" s="67">
        <f>IF(E192&gt;0,Assumptions!$D$20,0)</f>
        <v>0</v>
      </c>
      <c r="C193" s="67">
        <f>IF(E192&gt;0,E192*Assumptions!$D$18,0)</f>
        <v>0</v>
      </c>
      <c r="D193" s="67">
        <f t="shared" si="4"/>
        <v>0</v>
      </c>
      <c r="E193" s="63">
        <f t="shared" si="5"/>
        <v>-5104.5511888176043</v>
      </c>
    </row>
    <row r="194" spans="2:5" x14ac:dyDescent="0.25">
      <c r="B194" s="67">
        <f>IF(E193&gt;0,Assumptions!$D$20,0)</f>
        <v>0</v>
      </c>
      <c r="C194" s="67">
        <f>IF(E193&gt;0,E193*Assumptions!$D$18,0)</f>
        <v>0</v>
      </c>
      <c r="D194" s="67">
        <f t="shared" si="4"/>
        <v>0</v>
      </c>
      <c r="E194" s="63">
        <f t="shared" si="5"/>
        <v>-5104.5511888176043</v>
      </c>
    </row>
    <row r="195" spans="2:5" x14ac:dyDescent="0.25">
      <c r="B195" s="67">
        <f>IF(E194&gt;0,Assumptions!$D$20,0)</f>
        <v>0</v>
      </c>
      <c r="C195" s="67">
        <f>IF(E194&gt;0,E194*Assumptions!$D$18,0)</f>
        <v>0</v>
      </c>
      <c r="D195" s="67">
        <f t="shared" si="4"/>
        <v>0</v>
      </c>
      <c r="E195" s="63">
        <f t="shared" si="5"/>
        <v>-5104.5511888176043</v>
      </c>
    </row>
    <row r="196" spans="2:5" x14ac:dyDescent="0.25">
      <c r="B196" s="67">
        <f>IF(E195&gt;0,Assumptions!$D$20,0)</f>
        <v>0</v>
      </c>
      <c r="C196" s="67">
        <f>IF(E195&gt;0,E195*Assumptions!$D$18,0)</f>
        <v>0</v>
      </c>
      <c r="D196" s="67">
        <f t="shared" si="4"/>
        <v>0</v>
      </c>
      <c r="E196" s="63">
        <f t="shared" si="5"/>
        <v>-5104.5511888176043</v>
      </c>
    </row>
    <row r="197" spans="2:5" x14ac:dyDescent="0.25">
      <c r="B197" s="67">
        <f>IF(E196&gt;0,Assumptions!$D$20,0)</f>
        <v>0</v>
      </c>
      <c r="C197" s="67">
        <f>IF(E196&gt;0,E196*Assumptions!$D$18,0)</f>
        <v>0</v>
      </c>
      <c r="D197" s="67">
        <f t="shared" si="4"/>
        <v>0</v>
      </c>
      <c r="E197" s="63">
        <f t="shared" si="5"/>
        <v>-5104.5511888176043</v>
      </c>
    </row>
    <row r="198" spans="2:5" x14ac:dyDescent="0.25">
      <c r="B198" s="67">
        <f>IF(E197&gt;0,Assumptions!$D$20,0)</f>
        <v>0</v>
      </c>
      <c r="C198" s="67">
        <f>IF(E197&gt;0,E197*Assumptions!$D$18,0)</f>
        <v>0</v>
      </c>
      <c r="D198" s="67">
        <f t="shared" si="4"/>
        <v>0</v>
      </c>
      <c r="E198" s="63">
        <f t="shared" si="5"/>
        <v>-5104.5511888176043</v>
      </c>
    </row>
    <row r="199" spans="2:5" x14ac:dyDescent="0.25">
      <c r="B199" s="67">
        <f>IF(E198&gt;0,Assumptions!$D$20,0)</f>
        <v>0</v>
      </c>
      <c r="C199" s="67">
        <f>IF(E198&gt;0,E198*Assumptions!$D$18,0)</f>
        <v>0</v>
      </c>
      <c r="D199" s="67">
        <f t="shared" ref="D199:D262" si="6">B199-C199</f>
        <v>0</v>
      </c>
      <c r="E199" s="63">
        <f t="shared" ref="E199:E262" si="7">E198-D199</f>
        <v>-5104.5511888176043</v>
      </c>
    </row>
    <row r="200" spans="2:5" x14ac:dyDescent="0.25">
      <c r="B200" s="67">
        <f>IF(E199&gt;0,Assumptions!$D$20,0)</f>
        <v>0</v>
      </c>
      <c r="C200" s="67">
        <f>IF(E199&gt;0,E199*Assumptions!$D$18,0)</f>
        <v>0</v>
      </c>
      <c r="D200" s="67">
        <f t="shared" si="6"/>
        <v>0</v>
      </c>
      <c r="E200" s="63">
        <f t="shared" si="7"/>
        <v>-5104.5511888176043</v>
      </c>
    </row>
    <row r="201" spans="2:5" x14ac:dyDescent="0.25">
      <c r="B201" s="67">
        <f>IF(E200&gt;0,Assumptions!$D$20,0)</f>
        <v>0</v>
      </c>
      <c r="C201" s="67">
        <f>IF(E200&gt;0,E200*Assumptions!$D$18,0)</f>
        <v>0</v>
      </c>
      <c r="D201" s="67">
        <f t="shared" si="6"/>
        <v>0</v>
      </c>
      <c r="E201" s="63">
        <f t="shared" si="7"/>
        <v>-5104.5511888176043</v>
      </c>
    </row>
    <row r="202" spans="2:5" x14ac:dyDescent="0.25">
      <c r="B202" s="67">
        <f>IF(E201&gt;0,Assumptions!$D$20,0)</f>
        <v>0</v>
      </c>
      <c r="C202" s="67">
        <f>IF(E201&gt;0,E201*Assumptions!$D$18,0)</f>
        <v>0</v>
      </c>
      <c r="D202" s="67">
        <f t="shared" si="6"/>
        <v>0</v>
      </c>
      <c r="E202" s="63">
        <f t="shared" si="7"/>
        <v>-5104.5511888176043</v>
      </c>
    </row>
    <row r="203" spans="2:5" x14ac:dyDescent="0.25">
      <c r="B203" s="67">
        <f>IF(E202&gt;0,Assumptions!$D$20,0)</f>
        <v>0</v>
      </c>
      <c r="C203" s="67">
        <f>IF(E202&gt;0,E202*Assumptions!$D$18,0)</f>
        <v>0</v>
      </c>
      <c r="D203" s="67">
        <f t="shared" si="6"/>
        <v>0</v>
      </c>
      <c r="E203" s="63">
        <f t="shared" si="7"/>
        <v>-5104.5511888176043</v>
      </c>
    </row>
    <row r="204" spans="2:5" x14ac:dyDescent="0.25">
      <c r="B204" s="67">
        <f>IF(E203&gt;0,Assumptions!$D$20,0)</f>
        <v>0</v>
      </c>
      <c r="C204" s="67">
        <f>IF(E203&gt;0,E203*Assumptions!$D$18,0)</f>
        <v>0</v>
      </c>
      <c r="D204" s="67">
        <f t="shared" si="6"/>
        <v>0</v>
      </c>
      <c r="E204" s="63">
        <f t="shared" si="7"/>
        <v>-5104.5511888176043</v>
      </c>
    </row>
    <row r="205" spans="2:5" x14ac:dyDescent="0.25">
      <c r="B205" s="67">
        <f>IF(E204&gt;0,Assumptions!$D$20,0)</f>
        <v>0</v>
      </c>
      <c r="C205" s="67">
        <f>IF(E204&gt;0,E204*Assumptions!$D$18,0)</f>
        <v>0</v>
      </c>
      <c r="D205" s="67">
        <f t="shared" si="6"/>
        <v>0</v>
      </c>
      <c r="E205" s="63">
        <f t="shared" si="7"/>
        <v>-5104.5511888176043</v>
      </c>
    </row>
    <row r="206" spans="2:5" x14ac:dyDescent="0.25">
      <c r="B206" s="67">
        <f>IF(E205&gt;0,Assumptions!$D$20,0)</f>
        <v>0</v>
      </c>
      <c r="C206" s="67">
        <f>IF(E205&gt;0,E205*Assumptions!$D$18,0)</f>
        <v>0</v>
      </c>
      <c r="D206" s="67">
        <f t="shared" si="6"/>
        <v>0</v>
      </c>
      <c r="E206" s="63">
        <f t="shared" si="7"/>
        <v>-5104.5511888176043</v>
      </c>
    </row>
    <row r="207" spans="2:5" x14ac:dyDescent="0.25">
      <c r="B207" s="67">
        <f>IF(E206&gt;0,Assumptions!$D$20,0)</f>
        <v>0</v>
      </c>
      <c r="C207" s="67">
        <f>IF(E206&gt;0,E206*Assumptions!$D$18,0)</f>
        <v>0</v>
      </c>
      <c r="D207" s="67">
        <f t="shared" si="6"/>
        <v>0</v>
      </c>
      <c r="E207" s="63">
        <f t="shared" si="7"/>
        <v>-5104.5511888176043</v>
      </c>
    </row>
    <row r="208" spans="2:5" x14ac:dyDescent="0.25">
      <c r="B208" s="67">
        <f>IF(E207&gt;0,Assumptions!$D$20,0)</f>
        <v>0</v>
      </c>
      <c r="C208" s="67">
        <f>IF(E207&gt;0,E207*Assumptions!$D$18,0)</f>
        <v>0</v>
      </c>
      <c r="D208" s="67">
        <f t="shared" si="6"/>
        <v>0</v>
      </c>
      <c r="E208" s="63">
        <f t="shared" si="7"/>
        <v>-5104.5511888176043</v>
      </c>
    </row>
    <row r="209" spans="2:5" x14ac:dyDescent="0.25">
      <c r="B209" s="67">
        <f>IF(E208&gt;0,Assumptions!$D$20,0)</f>
        <v>0</v>
      </c>
      <c r="C209" s="67">
        <f>IF(E208&gt;0,E208*Assumptions!$D$18,0)</f>
        <v>0</v>
      </c>
      <c r="D209" s="67">
        <f t="shared" si="6"/>
        <v>0</v>
      </c>
      <c r="E209" s="63">
        <f t="shared" si="7"/>
        <v>-5104.5511888176043</v>
      </c>
    </row>
    <row r="210" spans="2:5" x14ac:dyDescent="0.25">
      <c r="B210" s="67">
        <f>IF(E209&gt;0,Assumptions!$D$20,0)</f>
        <v>0</v>
      </c>
      <c r="C210" s="67">
        <f>IF(E209&gt;0,E209*Assumptions!$D$18,0)</f>
        <v>0</v>
      </c>
      <c r="D210" s="67">
        <f t="shared" si="6"/>
        <v>0</v>
      </c>
      <c r="E210" s="63">
        <f t="shared" si="7"/>
        <v>-5104.5511888176043</v>
      </c>
    </row>
    <row r="211" spans="2:5" x14ac:dyDescent="0.25">
      <c r="B211" s="67">
        <f>IF(E210&gt;0,Assumptions!$D$20,0)</f>
        <v>0</v>
      </c>
      <c r="C211" s="67">
        <f>IF(E210&gt;0,E210*Assumptions!$D$18,0)</f>
        <v>0</v>
      </c>
      <c r="D211" s="67">
        <f t="shared" si="6"/>
        <v>0</v>
      </c>
      <c r="E211" s="63">
        <f t="shared" si="7"/>
        <v>-5104.5511888176043</v>
      </c>
    </row>
    <row r="212" spans="2:5" x14ac:dyDescent="0.25">
      <c r="B212" s="67">
        <f>IF(E211&gt;0,Assumptions!$D$20,0)</f>
        <v>0</v>
      </c>
      <c r="C212" s="67">
        <f>IF(E211&gt;0,E211*Assumptions!$D$18,0)</f>
        <v>0</v>
      </c>
      <c r="D212" s="67">
        <f t="shared" si="6"/>
        <v>0</v>
      </c>
      <c r="E212" s="63">
        <f t="shared" si="7"/>
        <v>-5104.5511888176043</v>
      </c>
    </row>
    <row r="213" spans="2:5" x14ac:dyDescent="0.25">
      <c r="B213" s="67">
        <f>IF(E212&gt;0,Assumptions!$D$20,0)</f>
        <v>0</v>
      </c>
      <c r="C213" s="67">
        <f>IF(E212&gt;0,E212*Assumptions!$D$18,0)</f>
        <v>0</v>
      </c>
      <c r="D213" s="67">
        <f t="shared" si="6"/>
        <v>0</v>
      </c>
      <c r="E213" s="63">
        <f t="shared" si="7"/>
        <v>-5104.5511888176043</v>
      </c>
    </row>
    <row r="214" spans="2:5" x14ac:dyDescent="0.25">
      <c r="B214" s="67">
        <f>IF(E213&gt;0,Assumptions!$D$20,0)</f>
        <v>0</v>
      </c>
      <c r="C214" s="67">
        <f>IF(E213&gt;0,E213*Assumptions!$D$18,0)</f>
        <v>0</v>
      </c>
      <c r="D214" s="67">
        <f t="shared" si="6"/>
        <v>0</v>
      </c>
      <c r="E214" s="63">
        <f t="shared" si="7"/>
        <v>-5104.5511888176043</v>
      </c>
    </row>
    <row r="215" spans="2:5" x14ac:dyDescent="0.25">
      <c r="B215" s="67">
        <f>IF(E214&gt;0,Assumptions!$D$20,0)</f>
        <v>0</v>
      </c>
      <c r="C215" s="67">
        <f>IF(E214&gt;0,E214*Assumptions!$D$18,0)</f>
        <v>0</v>
      </c>
      <c r="D215" s="67">
        <f t="shared" si="6"/>
        <v>0</v>
      </c>
      <c r="E215" s="63">
        <f t="shared" si="7"/>
        <v>-5104.5511888176043</v>
      </c>
    </row>
    <row r="216" spans="2:5" x14ac:dyDescent="0.25">
      <c r="B216" s="67">
        <f>IF(E215&gt;0,Assumptions!$D$20,0)</f>
        <v>0</v>
      </c>
      <c r="C216" s="67">
        <f>IF(E215&gt;0,E215*Assumptions!$D$18,0)</f>
        <v>0</v>
      </c>
      <c r="D216" s="67">
        <f t="shared" si="6"/>
        <v>0</v>
      </c>
      <c r="E216" s="63">
        <f t="shared" si="7"/>
        <v>-5104.5511888176043</v>
      </c>
    </row>
    <row r="217" spans="2:5" x14ac:dyDescent="0.25">
      <c r="B217" s="67">
        <f>IF(E216&gt;0,Assumptions!$D$20,0)</f>
        <v>0</v>
      </c>
      <c r="C217" s="67">
        <f>IF(E216&gt;0,E216*Assumptions!$D$18,0)</f>
        <v>0</v>
      </c>
      <c r="D217" s="67">
        <f t="shared" si="6"/>
        <v>0</v>
      </c>
      <c r="E217" s="63">
        <f t="shared" si="7"/>
        <v>-5104.5511888176043</v>
      </c>
    </row>
    <row r="218" spans="2:5" x14ac:dyDescent="0.25">
      <c r="B218" s="67">
        <f>IF(E217&gt;0,Assumptions!$D$20,0)</f>
        <v>0</v>
      </c>
      <c r="C218" s="67">
        <f>IF(E217&gt;0,E217*Assumptions!$D$18,0)</f>
        <v>0</v>
      </c>
      <c r="D218" s="67">
        <f t="shared" si="6"/>
        <v>0</v>
      </c>
      <c r="E218" s="63">
        <f t="shared" si="7"/>
        <v>-5104.5511888176043</v>
      </c>
    </row>
    <row r="219" spans="2:5" x14ac:dyDescent="0.25">
      <c r="B219" s="67">
        <f>IF(E218&gt;0,Assumptions!$D$20,0)</f>
        <v>0</v>
      </c>
      <c r="C219" s="67">
        <f>IF(E218&gt;0,E218*Assumptions!$D$18,0)</f>
        <v>0</v>
      </c>
      <c r="D219" s="67">
        <f t="shared" si="6"/>
        <v>0</v>
      </c>
      <c r="E219" s="63">
        <f t="shared" si="7"/>
        <v>-5104.5511888176043</v>
      </c>
    </row>
    <row r="220" spans="2:5" x14ac:dyDescent="0.25">
      <c r="B220" s="67">
        <f>IF(E219&gt;0,Assumptions!$D$20,0)</f>
        <v>0</v>
      </c>
      <c r="C220" s="67">
        <f>IF(E219&gt;0,E219*Assumptions!$D$18,0)</f>
        <v>0</v>
      </c>
      <c r="D220" s="67">
        <f t="shared" si="6"/>
        <v>0</v>
      </c>
      <c r="E220" s="63">
        <f t="shared" si="7"/>
        <v>-5104.5511888176043</v>
      </c>
    </row>
    <row r="221" spans="2:5" x14ac:dyDescent="0.25">
      <c r="B221" s="67">
        <f>IF(E220&gt;0,Assumptions!$D$20,0)</f>
        <v>0</v>
      </c>
      <c r="C221" s="67">
        <f>IF(E220&gt;0,E220*Assumptions!$D$18,0)</f>
        <v>0</v>
      </c>
      <c r="D221" s="67">
        <f t="shared" si="6"/>
        <v>0</v>
      </c>
      <c r="E221" s="63">
        <f t="shared" si="7"/>
        <v>-5104.5511888176043</v>
      </c>
    </row>
    <row r="222" spans="2:5" x14ac:dyDescent="0.25">
      <c r="B222" s="67">
        <f>IF(E221&gt;0,Assumptions!$D$20,0)</f>
        <v>0</v>
      </c>
      <c r="C222" s="67">
        <f>IF(E221&gt;0,E221*Assumptions!$D$18,0)</f>
        <v>0</v>
      </c>
      <c r="D222" s="67">
        <f t="shared" si="6"/>
        <v>0</v>
      </c>
      <c r="E222" s="63">
        <f t="shared" si="7"/>
        <v>-5104.5511888176043</v>
      </c>
    </row>
    <row r="223" spans="2:5" x14ac:dyDescent="0.25">
      <c r="B223" s="67">
        <f>IF(E222&gt;0,Assumptions!$D$20,0)</f>
        <v>0</v>
      </c>
      <c r="C223" s="67">
        <f>IF(E222&gt;0,E222*Assumptions!$D$18,0)</f>
        <v>0</v>
      </c>
      <c r="D223" s="67">
        <f t="shared" si="6"/>
        <v>0</v>
      </c>
      <c r="E223" s="63">
        <f t="shared" si="7"/>
        <v>-5104.5511888176043</v>
      </c>
    </row>
    <row r="224" spans="2:5" x14ac:dyDescent="0.25">
      <c r="B224" s="67">
        <f>IF(E223&gt;0,Assumptions!$D$20,0)</f>
        <v>0</v>
      </c>
      <c r="C224" s="67">
        <f>IF(E223&gt;0,E223*Assumptions!$D$18,0)</f>
        <v>0</v>
      </c>
      <c r="D224" s="67">
        <f t="shared" si="6"/>
        <v>0</v>
      </c>
      <c r="E224" s="63">
        <f t="shared" si="7"/>
        <v>-5104.5511888176043</v>
      </c>
    </row>
    <row r="225" spans="2:5" x14ac:dyDescent="0.25">
      <c r="B225" s="67">
        <f>IF(E224&gt;0,Assumptions!$D$20,0)</f>
        <v>0</v>
      </c>
      <c r="C225" s="67">
        <f>IF(E224&gt;0,E224*Assumptions!$D$18,0)</f>
        <v>0</v>
      </c>
      <c r="D225" s="67">
        <f t="shared" si="6"/>
        <v>0</v>
      </c>
      <c r="E225" s="63">
        <f t="shared" si="7"/>
        <v>-5104.5511888176043</v>
      </c>
    </row>
    <row r="226" spans="2:5" x14ac:dyDescent="0.25">
      <c r="B226" s="67">
        <f>IF(E225&gt;0,Assumptions!$D$20,0)</f>
        <v>0</v>
      </c>
      <c r="C226" s="67">
        <f>IF(E225&gt;0,E225*Assumptions!$D$18,0)</f>
        <v>0</v>
      </c>
      <c r="D226" s="67">
        <f t="shared" si="6"/>
        <v>0</v>
      </c>
      <c r="E226" s="63">
        <f t="shared" si="7"/>
        <v>-5104.5511888176043</v>
      </c>
    </row>
    <row r="227" spans="2:5" x14ac:dyDescent="0.25">
      <c r="B227" s="67">
        <f>IF(E226&gt;0,Assumptions!$D$20,0)</f>
        <v>0</v>
      </c>
      <c r="C227" s="67">
        <f>IF(E226&gt;0,E226*Assumptions!$D$18,0)</f>
        <v>0</v>
      </c>
      <c r="D227" s="67">
        <f t="shared" si="6"/>
        <v>0</v>
      </c>
      <c r="E227" s="63">
        <f t="shared" si="7"/>
        <v>-5104.5511888176043</v>
      </c>
    </row>
    <row r="228" spans="2:5" x14ac:dyDescent="0.25">
      <c r="B228" s="67">
        <f>IF(E227&gt;0,Assumptions!$D$20,0)</f>
        <v>0</v>
      </c>
      <c r="C228" s="67">
        <f>IF(E227&gt;0,E227*Assumptions!$D$18,0)</f>
        <v>0</v>
      </c>
      <c r="D228" s="67">
        <f t="shared" si="6"/>
        <v>0</v>
      </c>
      <c r="E228" s="63">
        <f t="shared" si="7"/>
        <v>-5104.5511888176043</v>
      </c>
    </row>
    <row r="229" spans="2:5" x14ac:dyDescent="0.25">
      <c r="B229" s="67">
        <f>IF(E228&gt;0,Assumptions!$D$20,0)</f>
        <v>0</v>
      </c>
      <c r="C229" s="67">
        <f>IF(E228&gt;0,E228*Assumptions!$D$18,0)</f>
        <v>0</v>
      </c>
      <c r="D229" s="67">
        <f t="shared" si="6"/>
        <v>0</v>
      </c>
      <c r="E229" s="63">
        <f t="shared" si="7"/>
        <v>-5104.5511888176043</v>
      </c>
    </row>
    <row r="230" spans="2:5" x14ac:dyDescent="0.25">
      <c r="B230" s="67">
        <f>IF(E229&gt;0,Assumptions!$D$20,0)</f>
        <v>0</v>
      </c>
      <c r="C230" s="67">
        <f>IF(E229&gt;0,E229*Assumptions!$D$18,0)</f>
        <v>0</v>
      </c>
      <c r="D230" s="67">
        <f t="shared" si="6"/>
        <v>0</v>
      </c>
      <c r="E230" s="63">
        <f t="shared" si="7"/>
        <v>-5104.5511888176043</v>
      </c>
    </row>
    <row r="231" spans="2:5" x14ac:dyDescent="0.25">
      <c r="B231" s="67">
        <f>IF(E230&gt;0,Assumptions!$D$20,0)</f>
        <v>0</v>
      </c>
      <c r="C231" s="67">
        <f>IF(E230&gt;0,E230*Assumptions!$D$18,0)</f>
        <v>0</v>
      </c>
      <c r="D231" s="67">
        <f t="shared" si="6"/>
        <v>0</v>
      </c>
      <c r="E231" s="63">
        <f t="shared" si="7"/>
        <v>-5104.5511888176043</v>
      </c>
    </row>
    <row r="232" spans="2:5" x14ac:dyDescent="0.25">
      <c r="B232" s="67">
        <f>IF(E231&gt;0,Assumptions!$D$20,0)</f>
        <v>0</v>
      </c>
      <c r="C232" s="67">
        <f>IF(E231&gt;0,E231*Assumptions!$D$18,0)</f>
        <v>0</v>
      </c>
      <c r="D232" s="67">
        <f t="shared" si="6"/>
        <v>0</v>
      </c>
      <c r="E232" s="63">
        <f t="shared" si="7"/>
        <v>-5104.5511888176043</v>
      </c>
    </row>
    <row r="233" spans="2:5" x14ac:dyDescent="0.25">
      <c r="B233" s="67">
        <f>IF(E232&gt;0,Assumptions!$D$20,0)</f>
        <v>0</v>
      </c>
      <c r="C233" s="67">
        <f>IF(E232&gt;0,E232*Assumptions!$D$18,0)</f>
        <v>0</v>
      </c>
      <c r="D233" s="67">
        <f t="shared" si="6"/>
        <v>0</v>
      </c>
      <c r="E233" s="63">
        <f t="shared" si="7"/>
        <v>-5104.5511888176043</v>
      </c>
    </row>
    <row r="234" spans="2:5" x14ac:dyDescent="0.25">
      <c r="B234" s="67">
        <f>IF(E233&gt;0,Assumptions!$D$20,0)</f>
        <v>0</v>
      </c>
      <c r="C234" s="67">
        <f>IF(E233&gt;0,E233*Assumptions!$D$18,0)</f>
        <v>0</v>
      </c>
      <c r="D234" s="67">
        <f t="shared" si="6"/>
        <v>0</v>
      </c>
      <c r="E234" s="63">
        <f t="shared" si="7"/>
        <v>-5104.5511888176043</v>
      </c>
    </row>
    <row r="235" spans="2:5" x14ac:dyDescent="0.25">
      <c r="B235" s="67">
        <f>IF(E234&gt;0,Assumptions!$D$20,0)</f>
        <v>0</v>
      </c>
      <c r="C235" s="67">
        <f>IF(E234&gt;0,E234*Assumptions!$D$18,0)</f>
        <v>0</v>
      </c>
      <c r="D235" s="67">
        <f t="shared" si="6"/>
        <v>0</v>
      </c>
      <c r="E235" s="63">
        <f t="shared" si="7"/>
        <v>-5104.5511888176043</v>
      </c>
    </row>
    <row r="236" spans="2:5" x14ac:dyDescent="0.25">
      <c r="B236" s="67">
        <f>IF(E235&gt;0,Assumptions!$D$20,0)</f>
        <v>0</v>
      </c>
      <c r="C236" s="67">
        <f>IF(E235&gt;0,E235*Assumptions!$D$18,0)</f>
        <v>0</v>
      </c>
      <c r="D236" s="67">
        <f t="shared" si="6"/>
        <v>0</v>
      </c>
      <c r="E236" s="63">
        <f t="shared" si="7"/>
        <v>-5104.5511888176043</v>
      </c>
    </row>
    <row r="237" spans="2:5" x14ac:dyDescent="0.25">
      <c r="B237" s="67">
        <f>IF(E236&gt;0,Assumptions!$D$20,0)</f>
        <v>0</v>
      </c>
      <c r="C237" s="67">
        <f>IF(E236&gt;0,E236*Assumptions!$D$18,0)</f>
        <v>0</v>
      </c>
      <c r="D237" s="67">
        <f t="shared" si="6"/>
        <v>0</v>
      </c>
      <c r="E237" s="63">
        <f t="shared" si="7"/>
        <v>-5104.5511888176043</v>
      </c>
    </row>
    <row r="238" spans="2:5" x14ac:dyDescent="0.25">
      <c r="B238" s="67">
        <f>IF(E237&gt;0,Assumptions!$D$20,0)</f>
        <v>0</v>
      </c>
      <c r="C238" s="67">
        <f>IF(E237&gt;0,E237*Assumptions!$D$18,0)</f>
        <v>0</v>
      </c>
      <c r="D238" s="67">
        <f t="shared" si="6"/>
        <v>0</v>
      </c>
      <c r="E238" s="63">
        <f t="shared" si="7"/>
        <v>-5104.5511888176043</v>
      </c>
    </row>
    <row r="239" spans="2:5" x14ac:dyDescent="0.25">
      <c r="B239" s="67">
        <f>IF(E238&gt;0,Assumptions!$D$20,0)</f>
        <v>0</v>
      </c>
      <c r="C239" s="67">
        <f>IF(E238&gt;0,E238*Assumptions!$D$18,0)</f>
        <v>0</v>
      </c>
      <c r="D239" s="67">
        <f t="shared" si="6"/>
        <v>0</v>
      </c>
      <c r="E239" s="63">
        <f t="shared" si="7"/>
        <v>-5104.5511888176043</v>
      </c>
    </row>
    <row r="240" spans="2:5" x14ac:dyDescent="0.25">
      <c r="B240" s="67">
        <f>IF(E239&gt;0,Assumptions!$D$20,0)</f>
        <v>0</v>
      </c>
      <c r="C240" s="67">
        <f>IF(E239&gt;0,E239*Assumptions!$D$18,0)</f>
        <v>0</v>
      </c>
      <c r="D240" s="67">
        <f t="shared" si="6"/>
        <v>0</v>
      </c>
      <c r="E240" s="63">
        <f t="shared" si="7"/>
        <v>-5104.5511888176043</v>
      </c>
    </row>
    <row r="241" spans="2:5" x14ac:dyDescent="0.25">
      <c r="B241" s="67">
        <f>IF(E240&gt;0,Assumptions!$D$20,0)</f>
        <v>0</v>
      </c>
      <c r="C241" s="67">
        <f>IF(E240&gt;0,E240*Assumptions!$D$18,0)</f>
        <v>0</v>
      </c>
      <c r="D241" s="67">
        <f t="shared" si="6"/>
        <v>0</v>
      </c>
      <c r="E241" s="63">
        <f t="shared" si="7"/>
        <v>-5104.5511888176043</v>
      </c>
    </row>
    <row r="242" spans="2:5" x14ac:dyDescent="0.25">
      <c r="B242" s="67">
        <f>IF(E241&gt;0,Assumptions!$D$20,0)</f>
        <v>0</v>
      </c>
      <c r="C242" s="67">
        <f>IF(E241&gt;0,E241*Assumptions!$D$18,0)</f>
        <v>0</v>
      </c>
      <c r="D242" s="67">
        <f t="shared" si="6"/>
        <v>0</v>
      </c>
      <c r="E242" s="63">
        <f t="shared" si="7"/>
        <v>-5104.5511888176043</v>
      </c>
    </row>
    <row r="243" spans="2:5" x14ac:dyDescent="0.25">
      <c r="B243" s="67">
        <f>IF(E242&gt;0,Assumptions!$D$20,0)</f>
        <v>0</v>
      </c>
      <c r="C243" s="67">
        <f>IF(E242&gt;0,E242*Assumptions!$D$18,0)</f>
        <v>0</v>
      </c>
      <c r="D243" s="67">
        <f t="shared" si="6"/>
        <v>0</v>
      </c>
      <c r="E243" s="63">
        <f t="shared" si="7"/>
        <v>-5104.5511888176043</v>
      </c>
    </row>
    <row r="244" spans="2:5" x14ac:dyDescent="0.25">
      <c r="B244" s="67">
        <f>IF(E243&gt;0,Assumptions!$D$20,0)</f>
        <v>0</v>
      </c>
      <c r="C244" s="67">
        <f>IF(E243&gt;0,E243*Assumptions!$D$18,0)</f>
        <v>0</v>
      </c>
      <c r="D244" s="67">
        <f t="shared" si="6"/>
        <v>0</v>
      </c>
      <c r="E244" s="63">
        <f t="shared" si="7"/>
        <v>-5104.5511888176043</v>
      </c>
    </row>
    <row r="245" spans="2:5" x14ac:dyDescent="0.25">
      <c r="B245" s="67">
        <f>IF(E244&gt;0,Assumptions!$D$20,0)</f>
        <v>0</v>
      </c>
      <c r="C245" s="67">
        <f>IF(E244&gt;0,E244*Assumptions!$D$18,0)</f>
        <v>0</v>
      </c>
      <c r="D245" s="67">
        <f t="shared" si="6"/>
        <v>0</v>
      </c>
      <c r="E245" s="63">
        <f t="shared" si="7"/>
        <v>-5104.5511888176043</v>
      </c>
    </row>
    <row r="246" spans="2:5" x14ac:dyDescent="0.25">
      <c r="B246" s="67">
        <f>IF(E245&gt;0,Assumptions!$D$20,0)</f>
        <v>0</v>
      </c>
      <c r="C246" s="67">
        <f>IF(E245&gt;0,E245*Assumptions!$D$18,0)</f>
        <v>0</v>
      </c>
      <c r="D246" s="67">
        <f t="shared" si="6"/>
        <v>0</v>
      </c>
      <c r="E246" s="63">
        <f t="shared" si="7"/>
        <v>-5104.5511888176043</v>
      </c>
    </row>
    <row r="247" spans="2:5" x14ac:dyDescent="0.25">
      <c r="B247" s="67">
        <f>IF(E246&gt;0,Assumptions!$D$20,0)</f>
        <v>0</v>
      </c>
      <c r="C247" s="67">
        <f>IF(E246&gt;0,E246*Assumptions!$D$18,0)</f>
        <v>0</v>
      </c>
      <c r="D247" s="67">
        <f t="shared" si="6"/>
        <v>0</v>
      </c>
      <c r="E247" s="63">
        <f t="shared" si="7"/>
        <v>-5104.5511888176043</v>
      </c>
    </row>
    <row r="248" spans="2:5" x14ac:dyDescent="0.25">
      <c r="B248" s="67">
        <f>IF(E247&gt;0,Assumptions!$D$20,0)</f>
        <v>0</v>
      </c>
      <c r="C248" s="67">
        <f>IF(E247&gt;0,E247*Assumptions!$D$18,0)</f>
        <v>0</v>
      </c>
      <c r="D248" s="67">
        <f t="shared" si="6"/>
        <v>0</v>
      </c>
      <c r="E248" s="63">
        <f t="shared" si="7"/>
        <v>-5104.5511888176043</v>
      </c>
    </row>
    <row r="249" spans="2:5" x14ac:dyDescent="0.25">
      <c r="B249" s="67">
        <f>IF(E248&gt;0,Assumptions!$D$20,0)</f>
        <v>0</v>
      </c>
      <c r="C249" s="67">
        <f>IF(E248&gt;0,E248*Assumptions!$D$18,0)</f>
        <v>0</v>
      </c>
      <c r="D249" s="67">
        <f t="shared" si="6"/>
        <v>0</v>
      </c>
      <c r="E249" s="63">
        <f t="shared" si="7"/>
        <v>-5104.5511888176043</v>
      </c>
    </row>
    <row r="250" spans="2:5" x14ac:dyDescent="0.25">
      <c r="B250" s="67">
        <f>IF(E249&gt;0,Assumptions!$D$20,0)</f>
        <v>0</v>
      </c>
      <c r="C250" s="67">
        <f>IF(E249&gt;0,E249*Assumptions!$D$18,0)</f>
        <v>0</v>
      </c>
      <c r="D250" s="67">
        <f t="shared" si="6"/>
        <v>0</v>
      </c>
      <c r="E250" s="63">
        <f t="shared" si="7"/>
        <v>-5104.5511888176043</v>
      </c>
    </row>
    <row r="251" spans="2:5" x14ac:dyDescent="0.25">
      <c r="B251" s="67">
        <f>IF(E250&gt;0,Assumptions!$D$20,0)</f>
        <v>0</v>
      </c>
      <c r="C251" s="67">
        <f>IF(E250&gt;0,E250*Assumptions!$D$18,0)</f>
        <v>0</v>
      </c>
      <c r="D251" s="67">
        <f t="shared" si="6"/>
        <v>0</v>
      </c>
      <c r="E251" s="63">
        <f t="shared" si="7"/>
        <v>-5104.5511888176043</v>
      </c>
    </row>
    <row r="252" spans="2:5" x14ac:dyDescent="0.25">
      <c r="B252" s="67">
        <f>IF(E251&gt;0,Assumptions!$D$20,0)</f>
        <v>0</v>
      </c>
      <c r="C252" s="67">
        <f>IF(E251&gt;0,E251*Assumptions!$D$18,0)</f>
        <v>0</v>
      </c>
      <c r="D252" s="67">
        <f t="shared" si="6"/>
        <v>0</v>
      </c>
      <c r="E252" s="63">
        <f t="shared" si="7"/>
        <v>-5104.5511888176043</v>
      </c>
    </row>
    <row r="253" spans="2:5" x14ac:dyDescent="0.25">
      <c r="B253" s="67">
        <f>IF(E252&gt;0,Assumptions!$D$20,0)</f>
        <v>0</v>
      </c>
      <c r="C253" s="67">
        <f>IF(E252&gt;0,E252*Assumptions!$D$18,0)</f>
        <v>0</v>
      </c>
      <c r="D253" s="67">
        <f t="shared" si="6"/>
        <v>0</v>
      </c>
      <c r="E253" s="63">
        <f t="shared" si="7"/>
        <v>-5104.5511888176043</v>
      </c>
    </row>
    <row r="254" spans="2:5" x14ac:dyDescent="0.25">
      <c r="B254" s="67">
        <f>IF(E253&gt;0,Assumptions!$D$20,0)</f>
        <v>0</v>
      </c>
      <c r="C254" s="67">
        <f>IF(E253&gt;0,E253*Assumptions!$D$18,0)</f>
        <v>0</v>
      </c>
      <c r="D254" s="67">
        <f t="shared" si="6"/>
        <v>0</v>
      </c>
      <c r="E254" s="63">
        <f t="shared" si="7"/>
        <v>-5104.5511888176043</v>
      </c>
    </row>
    <row r="255" spans="2:5" x14ac:dyDescent="0.25">
      <c r="B255" s="67">
        <f>IF(E254&gt;0,Assumptions!$D$20,0)</f>
        <v>0</v>
      </c>
      <c r="C255" s="67">
        <f>IF(E254&gt;0,E254*Assumptions!$D$18,0)</f>
        <v>0</v>
      </c>
      <c r="D255" s="67">
        <f t="shared" si="6"/>
        <v>0</v>
      </c>
      <c r="E255" s="63">
        <f t="shared" si="7"/>
        <v>-5104.5511888176043</v>
      </c>
    </row>
    <row r="256" spans="2:5" x14ac:dyDescent="0.25">
      <c r="B256" s="67">
        <f>IF(E255&gt;0,Assumptions!$D$20,0)</f>
        <v>0</v>
      </c>
      <c r="C256" s="67">
        <f>IF(E255&gt;0,E255*Assumptions!$D$18,0)</f>
        <v>0</v>
      </c>
      <c r="D256" s="67">
        <f t="shared" si="6"/>
        <v>0</v>
      </c>
      <c r="E256" s="63">
        <f t="shared" si="7"/>
        <v>-5104.5511888176043</v>
      </c>
    </row>
    <row r="257" spans="2:5" x14ac:dyDescent="0.25">
      <c r="B257" s="67">
        <f>IF(E256&gt;0,Assumptions!$D$20,0)</f>
        <v>0</v>
      </c>
      <c r="C257" s="67">
        <f>IF(E256&gt;0,E256*Assumptions!$D$18,0)</f>
        <v>0</v>
      </c>
      <c r="D257" s="67">
        <f t="shared" si="6"/>
        <v>0</v>
      </c>
      <c r="E257" s="63">
        <f t="shared" si="7"/>
        <v>-5104.5511888176043</v>
      </c>
    </row>
    <row r="258" spans="2:5" x14ac:dyDescent="0.25">
      <c r="B258" s="67">
        <f>IF(E257&gt;0,Assumptions!$D$20,0)</f>
        <v>0</v>
      </c>
      <c r="C258" s="67">
        <f>IF(E257&gt;0,E257*Assumptions!$D$18,0)</f>
        <v>0</v>
      </c>
      <c r="D258" s="67">
        <f t="shared" si="6"/>
        <v>0</v>
      </c>
      <c r="E258" s="63">
        <f t="shared" si="7"/>
        <v>-5104.5511888176043</v>
      </c>
    </row>
    <row r="259" spans="2:5" x14ac:dyDescent="0.25">
      <c r="B259" s="67">
        <f>IF(E258&gt;0,Assumptions!$D$20,0)</f>
        <v>0</v>
      </c>
      <c r="C259" s="67">
        <f>IF(E258&gt;0,E258*Assumptions!$D$18,0)</f>
        <v>0</v>
      </c>
      <c r="D259" s="67">
        <f t="shared" si="6"/>
        <v>0</v>
      </c>
      <c r="E259" s="63">
        <f t="shared" si="7"/>
        <v>-5104.5511888176043</v>
      </c>
    </row>
    <row r="260" spans="2:5" x14ac:dyDescent="0.25">
      <c r="B260" s="67">
        <f>IF(E259&gt;0,Assumptions!$D$20,0)</f>
        <v>0</v>
      </c>
      <c r="C260" s="67">
        <f>IF(E259&gt;0,E259*Assumptions!$D$18,0)</f>
        <v>0</v>
      </c>
      <c r="D260" s="67">
        <f t="shared" si="6"/>
        <v>0</v>
      </c>
      <c r="E260" s="63">
        <f t="shared" si="7"/>
        <v>-5104.5511888176043</v>
      </c>
    </row>
    <row r="261" spans="2:5" x14ac:dyDescent="0.25">
      <c r="B261" s="67">
        <f>IF(E260&gt;0,Assumptions!$D$20,0)</f>
        <v>0</v>
      </c>
      <c r="C261" s="67">
        <f>IF(E260&gt;0,E260*Assumptions!$D$18,0)</f>
        <v>0</v>
      </c>
      <c r="D261" s="67">
        <f t="shared" si="6"/>
        <v>0</v>
      </c>
      <c r="E261" s="63">
        <f t="shared" si="7"/>
        <v>-5104.5511888176043</v>
      </c>
    </row>
    <row r="262" spans="2:5" x14ac:dyDescent="0.25">
      <c r="B262" s="67">
        <f>IF(E261&gt;0,Assumptions!$D$20,0)</f>
        <v>0</v>
      </c>
      <c r="C262" s="67">
        <f>IF(E261&gt;0,E261*Assumptions!$D$18,0)</f>
        <v>0</v>
      </c>
      <c r="D262" s="67">
        <f t="shared" si="6"/>
        <v>0</v>
      </c>
      <c r="E262" s="63">
        <f t="shared" si="7"/>
        <v>-5104.5511888176043</v>
      </c>
    </row>
    <row r="263" spans="2:5" x14ac:dyDescent="0.25">
      <c r="B263" s="67">
        <f>IF(E262&gt;0,Assumptions!$D$20,0)</f>
        <v>0</v>
      </c>
      <c r="C263" s="67">
        <f>IF(E262&gt;0,E262*Assumptions!$D$18,0)</f>
        <v>0</v>
      </c>
      <c r="D263" s="67">
        <f t="shared" ref="D263:D283" si="8">B263-C263</f>
        <v>0</v>
      </c>
      <c r="E263" s="63">
        <f t="shared" ref="E263:E283" si="9">E262-D263</f>
        <v>-5104.5511888176043</v>
      </c>
    </row>
    <row r="264" spans="2:5" x14ac:dyDescent="0.25">
      <c r="B264" s="67">
        <f>IF(E263&gt;0,Assumptions!$D$20,0)</f>
        <v>0</v>
      </c>
      <c r="C264" s="67">
        <f>IF(E263&gt;0,E263*Assumptions!$D$18,0)</f>
        <v>0</v>
      </c>
      <c r="D264" s="67">
        <f t="shared" si="8"/>
        <v>0</v>
      </c>
      <c r="E264" s="63">
        <f t="shared" si="9"/>
        <v>-5104.5511888176043</v>
      </c>
    </row>
    <row r="265" spans="2:5" x14ac:dyDescent="0.25">
      <c r="B265" s="67">
        <f>IF(E264&gt;0,Assumptions!$D$20,0)</f>
        <v>0</v>
      </c>
      <c r="C265" s="67">
        <f>IF(E264&gt;0,E264*Assumptions!$D$18,0)</f>
        <v>0</v>
      </c>
      <c r="D265" s="67">
        <f t="shared" si="8"/>
        <v>0</v>
      </c>
      <c r="E265" s="63">
        <f t="shared" si="9"/>
        <v>-5104.5511888176043</v>
      </c>
    </row>
    <row r="266" spans="2:5" x14ac:dyDescent="0.25">
      <c r="B266" s="67">
        <f>IF(E265&gt;0,Assumptions!$D$20,0)</f>
        <v>0</v>
      </c>
      <c r="C266" s="67">
        <f>IF(E265&gt;0,E265*Assumptions!$D$18,0)</f>
        <v>0</v>
      </c>
      <c r="D266" s="67">
        <f t="shared" si="8"/>
        <v>0</v>
      </c>
      <c r="E266" s="63">
        <f t="shared" si="9"/>
        <v>-5104.5511888176043</v>
      </c>
    </row>
    <row r="267" spans="2:5" x14ac:dyDescent="0.25">
      <c r="B267" s="67">
        <f>IF(E266&gt;0,Assumptions!$D$20,0)</f>
        <v>0</v>
      </c>
      <c r="C267" s="67">
        <f>IF(E266&gt;0,E266*Assumptions!$D$18,0)</f>
        <v>0</v>
      </c>
      <c r="D267" s="67">
        <f t="shared" si="8"/>
        <v>0</v>
      </c>
      <c r="E267" s="63">
        <f t="shared" si="9"/>
        <v>-5104.5511888176043</v>
      </c>
    </row>
    <row r="268" spans="2:5" x14ac:dyDescent="0.25">
      <c r="B268" s="67">
        <f>IF(E267&gt;0,Assumptions!$D$20,0)</f>
        <v>0</v>
      </c>
      <c r="C268" s="67">
        <f>IF(E267&gt;0,E267*Assumptions!$D$18,0)</f>
        <v>0</v>
      </c>
      <c r="D268" s="67">
        <f t="shared" si="8"/>
        <v>0</v>
      </c>
      <c r="E268" s="63">
        <f t="shared" si="9"/>
        <v>-5104.5511888176043</v>
      </c>
    </row>
    <row r="269" spans="2:5" x14ac:dyDescent="0.25">
      <c r="B269" s="67">
        <f>IF(E268&gt;0,Assumptions!$D$20,0)</f>
        <v>0</v>
      </c>
      <c r="C269" s="67">
        <f>IF(E268&gt;0,E268*Assumptions!$D$18,0)</f>
        <v>0</v>
      </c>
      <c r="D269" s="67">
        <f t="shared" si="8"/>
        <v>0</v>
      </c>
      <c r="E269" s="63">
        <f t="shared" si="9"/>
        <v>-5104.5511888176043</v>
      </c>
    </row>
    <row r="270" spans="2:5" x14ac:dyDescent="0.25">
      <c r="B270" s="67">
        <f>IF(E269&gt;0,Assumptions!$D$20,0)</f>
        <v>0</v>
      </c>
      <c r="C270" s="67">
        <f>IF(E269&gt;0,E269*Assumptions!$D$18,0)</f>
        <v>0</v>
      </c>
      <c r="D270" s="67">
        <f t="shared" si="8"/>
        <v>0</v>
      </c>
      <c r="E270" s="63">
        <f t="shared" si="9"/>
        <v>-5104.5511888176043</v>
      </c>
    </row>
    <row r="271" spans="2:5" x14ac:dyDescent="0.25">
      <c r="B271" s="67">
        <f>IF(E270&gt;0,Assumptions!$D$20,0)</f>
        <v>0</v>
      </c>
      <c r="C271" s="67">
        <f>IF(E270&gt;0,E270*Assumptions!$D$18,0)</f>
        <v>0</v>
      </c>
      <c r="D271" s="67">
        <f t="shared" si="8"/>
        <v>0</v>
      </c>
      <c r="E271" s="63">
        <f t="shared" si="9"/>
        <v>-5104.5511888176043</v>
      </c>
    </row>
    <row r="272" spans="2:5" x14ac:dyDescent="0.25">
      <c r="B272" s="67">
        <f>IF(E271&gt;0,Assumptions!$D$20,0)</f>
        <v>0</v>
      </c>
      <c r="C272" s="67">
        <f>IF(E271&gt;0,E271*Assumptions!$D$18,0)</f>
        <v>0</v>
      </c>
      <c r="D272" s="67">
        <f t="shared" si="8"/>
        <v>0</v>
      </c>
      <c r="E272" s="63">
        <f t="shared" si="9"/>
        <v>-5104.5511888176043</v>
      </c>
    </row>
    <row r="273" spans="2:5" x14ac:dyDescent="0.25">
      <c r="B273" s="67">
        <f>IF(E272&gt;0,Assumptions!$D$20,0)</f>
        <v>0</v>
      </c>
      <c r="C273" s="67">
        <f>IF(E272&gt;0,E272*Assumptions!$D$18,0)</f>
        <v>0</v>
      </c>
      <c r="D273" s="67">
        <f t="shared" si="8"/>
        <v>0</v>
      </c>
      <c r="E273" s="63">
        <f t="shared" si="9"/>
        <v>-5104.5511888176043</v>
      </c>
    </row>
    <row r="274" spans="2:5" x14ac:dyDescent="0.25">
      <c r="B274" s="67">
        <f>IF(E273&gt;0,Assumptions!$D$20,0)</f>
        <v>0</v>
      </c>
      <c r="C274" s="67">
        <f>IF(E273&gt;0,E273*Assumptions!$D$18,0)</f>
        <v>0</v>
      </c>
      <c r="D274" s="67">
        <f t="shared" si="8"/>
        <v>0</v>
      </c>
      <c r="E274" s="63">
        <f t="shared" si="9"/>
        <v>-5104.5511888176043</v>
      </c>
    </row>
    <row r="275" spans="2:5" x14ac:dyDescent="0.25">
      <c r="B275" s="67">
        <f>IF(E274&gt;0,Assumptions!$D$20,0)</f>
        <v>0</v>
      </c>
      <c r="C275" s="67">
        <f>IF(E274&gt;0,E274*Assumptions!$D$18,0)</f>
        <v>0</v>
      </c>
      <c r="D275" s="67">
        <f t="shared" si="8"/>
        <v>0</v>
      </c>
      <c r="E275" s="63">
        <f t="shared" si="9"/>
        <v>-5104.5511888176043</v>
      </c>
    </row>
    <row r="276" spans="2:5" x14ac:dyDescent="0.25">
      <c r="B276" s="67">
        <f>IF(E275&gt;0,Assumptions!$D$20,0)</f>
        <v>0</v>
      </c>
      <c r="C276" s="67">
        <f>IF(E275&gt;0,E275*Assumptions!$D$18,0)</f>
        <v>0</v>
      </c>
      <c r="D276" s="67">
        <f t="shared" si="8"/>
        <v>0</v>
      </c>
      <c r="E276" s="63">
        <f t="shared" si="9"/>
        <v>-5104.5511888176043</v>
      </c>
    </row>
    <row r="277" spans="2:5" x14ac:dyDescent="0.25">
      <c r="B277" s="67">
        <f>IF(E276&gt;0,Assumptions!$D$20,0)</f>
        <v>0</v>
      </c>
      <c r="C277" s="67">
        <f>IF(E276&gt;0,E276*Assumptions!$D$18,0)</f>
        <v>0</v>
      </c>
      <c r="D277" s="67">
        <f t="shared" si="8"/>
        <v>0</v>
      </c>
      <c r="E277" s="63">
        <f t="shared" si="9"/>
        <v>-5104.5511888176043</v>
      </c>
    </row>
    <row r="278" spans="2:5" x14ac:dyDescent="0.25">
      <c r="B278" s="67">
        <f>IF(E277&gt;0,Assumptions!$D$20,0)</f>
        <v>0</v>
      </c>
      <c r="C278" s="67">
        <f>IF(E277&gt;0,E277*Assumptions!$D$18,0)</f>
        <v>0</v>
      </c>
      <c r="D278" s="67">
        <f t="shared" si="8"/>
        <v>0</v>
      </c>
      <c r="E278" s="63">
        <f t="shared" si="9"/>
        <v>-5104.5511888176043</v>
      </c>
    </row>
    <row r="279" spans="2:5" x14ac:dyDescent="0.25">
      <c r="B279" s="67">
        <f>IF(E278&gt;0,Assumptions!$D$20,0)</f>
        <v>0</v>
      </c>
      <c r="C279" s="67">
        <f>IF(E278&gt;0,E278*Assumptions!$D$18,0)</f>
        <v>0</v>
      </c>
      <c r="D279" s="67">
        <f t="shared" si="8"/>
        <v>0</v>
      </c>
      <c r="E279" s="63">
        <f t="shared" si="9"/>
        <v>-5104.5511888176043</v>
      </c>
    </row>
    <row r="280" spans="2:5" x14ac:dyDescent="0.25">
      <c r="B280" s="67">
        <f>IF(E279&gt;0,Assumptions!$D$20,0)</f>
        <v>0</v>
      </c>
      <c r="C280" s="67">
        <f>IF(E279&gt;0,E279*Assumptions!$D$18,0)</f>
        <v>0</v>
      </c>
      <c r="D280" s="67">
        <f t="shared" si="8"/>
        <v>0</v>
      </c>
      <c r="E280" s="63">
        <f t="shared" si="9"/>
        <v>-5104.5511888176043</v>
      </c>
    </row>
    <row r="281" spans="2:5" x14ac:dyDescent="0.25">
      <c r="B281" s="67">
        <f>IF(E280&gt;0,Assumptions!$D$20,0)</f>
        <v>0</v>
      </c>
      <c r="C281" s="67">
        <f>IF(E280&gt;0,E280*Assumptions!$D$18,0)</f>
        <v>0</v>
      </c>
      <c r="D281" s="67">
        <f t="shared" si="8"/>
        <v>0</v>
      </c>
      <c r="E281" s="63">
        <f t="shared" si="9"/>
        <v>-5104.5511888176043</v>
      </c>
    </row>
    <row r="282" spans="2:5" x14ac:dyDescent="0.25">
      <c r="B282" s="67">
        <f>IF(E281&gt;0,Assumptions!$D$20,0)</f>
        <v>0</v>
      </c>
      <c r="C282" s="67">
        <f>IF(E281&gt;0,E281*Assumptions!$D$18,0)</f>
        <v>0</v>
      </c>
      <c r="D282" s="67">
        <f t="shared" si="8"/>
        <v>0</v>
      </c>
      <c r="E282" s="63">
        <f t="shared" si="9"/>
        <v>-5104.5511888176043</v>
      </c>
    </row>
    <row r="283" spans="2:5" x14ac:dyDescent="0.25">
      <c r="B283" s="67">
        <f>IF(E282&gt;0,Assumptions!$D$20,0)</f>
        <v>0</v>
      </c>
      <c r="C283" s="67">
        <f>IF(E282&gt;0,E282*Assumptions!$D$18,0)</f>
        <v>0</v>
      </c>
      <c r="D283" s="67">
        <f t="shared" si="8"/>
        <v>0</v>
      </c>
      <c r="E283" s="63">
        <f t="shared" si="9"/>
        <v>-5104.5511888176043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F18"/>
  <sheetViews>
    <sheetView workbookViewId="0">
      <selection activeCell="E10" sqref="E10"/>
    </sheetView>
  </sheetViews>
  <sheetFormatPr defaultRowHeight="15" x14ac:dyDescent="0.25"/>
  <cols>
    <col min="1" max="2" width="9.140625" style="1"/>
    <col min="3" max="3" width="15.28515625" style="1" customWidth="1"/>
    <col min="4" max="4" width="12.7109375" style="1" customWidth="1"/>
    <col min="5" max="16384" width="9.140625" style="1"/>
  </cols>
  <sheetData>
    <row r="2" spans="2:6" x14ac:dyDescent="0.25">
      <c r="B2" s="90"/>
      <c r="C2" s="91"/>
      <c r="D2" s="91"/>
      <c r="E2" s="91"/>
      <c r="F2" s="92"/>
    </row>
    <row r="3" spans="2:6" ht="15.75" x14ac:dyDescent="0.25">
      <c r="B3" s="3"/>
      <c r="C3" s="158" t="s">
        <v>76</v>
      </c>
      <c r="D3" s="158"/>
      <c r="E3" s="158"/>
      <c r="F3" s="4"/>
    </row>
    <row r="4" spans="2:6" x14ac:dyDescent="0.25">
      <c r="B4" s="3"/>
      <c r="C4" s="93"/>
      <c r="D4" s="93"/>
      <c r="E4" s="93"/>
      <c r="F4" s="4"/>
    </row>
    <row r="5" spans="2:6" x14ac:dyDescent="0.25">
      <c r="B5" s="3"/>
      <c r="C5" s="159" t="s">
        <v>89</v>
      </c>
      <c r="D5" s="160"/>
      <c r="E5" s="95">
        <f>Assumptions!L6/(1+(1-Assumptions!D21)*(('Financial Statements'!D47/('Financial Statements'!D47+('Financial Statements'!D50+'Financial Statements'!D51)))/(('Financial Statements'!D50+'Financial Statements'!D51)/(('Financial Statements'!D50+'Financial Statements'!D51)+'Financial Statements'!D47))))</f>
        <v>0.40763276432687651</v>
      </c>
      <c r="F5" s="4"/>
    </row>
    <row r="6" spans="2:6" x14ac:dyDescent="0.25">
      <c r="B6" s="3"/>
      <c r="C6" s="152" t="s">
        <v>90</v>
      </c>
      <c r="D6" s="153"/>
      <c r="E6" s="96">
        <f>E5*(1+(1-Assumptions!D21)*(Assumptions!D19/Assumptions!D26))</f>
        <v>0.78809001103196119</v>
      </c>
      <c r="F6" s="4"/>
    </row>
    <row r="7" spans="2:6" x14ac:dyDescent="0.25">
      <c r="B7" s="3"/>
      <c r="C7" s="152" t="s">
        <v>86</v>
      </c>
      <c r="D7" s="153"/>
      <c r="E7" s="97">
        <f>('Financial Statements'!AD45/('Financial Statements'!AD45+'Financial Statements'!AD44))*Assumptions!D18+('Financial Statements'!AD44/('Financial Statements'!AD44+'Financial Statements'!AD45))*Assumptions!D27</f>
        <v>0.12</v>
      </c>
      <c r="F7" s="4"/>
    </row>
    <row r="8" spans="2:6" x14ac:dyDescent="0.25">
      <c r="B8" s="3"/>
      <c r="C8" s="154" t="s">
        <v>87</v>
      </c>
      <c r="D8" s="155"/>
      <c r="E8" s="98">
        <f>Assumptions!L4+WACC!E6*(Assumptions!L5-Assumptions!L4)</f>
        <v>9.7285400661917681E-2</v>
      </c>
      <c r="F8" s="4"/>
    </row>
    <row r="9" spans="2:6" x14ac:dyDescent="0.25">
      <c r="B9" s="3"/>
      <c r="C9" s="26"/>
      <c r="D9" s="26"/>
      <c r="E9" s="93"/>
      <c r="F9" s="4"/>
    </row>
    <row r="10" spans="2:6" x14ac:dyDescent="0.25">
      <c r="B10" s="3"/>
      <c r="C10" s="156" t="s">
        <v>88</v>
      </c>
      <c r="D10" s="157"/>
      <c r="E10" s="94">
        <f>(Assumptions!D19/(Assumptions!D19+Assumptions!D26))*E7*(1-Assumptions!D21)+E8*(Assumptions!D26/(Assumptions!D26+Assumptions!D19))</f>
        <v>8.9693743140821847E-2</v>
      </c>
      <c r="F10" s="4"/>
    </row>
    <row r="11" spans="2:6" x14ac:dyDescent="0.25">
      <c r="B11" s="33"/>
      <c r="C11" s="77"/>
      <c r="D11" s="77"/>
      <c r="E11" s="77"/>
      <c r="F11" s="34"/>
    </row>
    <row r="14" spans="2:6" x14ac:dyDescent="0.25">
      <c r="E14" s="119"/>
    </row>
    <row r="16" spans="2:6" x14ac:dyDescent="0.25">
      <c r="E16" s="134"/>
    </row>
    <row r="17" spans="5:5" x14ac:dyDescent="0.25">
      <c r="E17" s="134"/>
    </row>
    <row r="18" spans="5:5" x14ac:dyDescent="0.25">
      <c r="E18" s="136"/>
    </row>
  </sheetData>
  <mergeCells count="6">
    <mergeCell ref="C6:D6"/>
    <mergeCell ref="C7:D7"/>
    <mergeCell ref="C8:D8"/>
    <mergeCell ref="C10:D10"/>
    <mergeCell ref="C3:E3"/>
    <mergeCell ref="C5:D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2:AH43"/>
  <sheetViews>
    <sheetView zoomScale="80" zoomScaleNormal="80" workbookViewId="0">
      <selection activeCell="H1" sqref="H1"/>
    </sheetView>
  </sheetViews>
  <sheetFormatPr defaultRowHeight="15" x14ac:dyDescent="0.25"/>
  <cols>
    <col min="1" max="1" width="9.140625" style="1"/>
    <col min="2" max="2" width="10.7109375" style="1" customWidth="1"/>
    <col min="3" max="3" width="20.7109375" style="7" customWidth="1"/>
    <col min="4" max="4" width="15.7109375" style="1" customWidth="1"/>
    <col min="5" max="5" width="4.7109375" style="1" customWidth="1"/>
    <col min="6" max="6" width="15.7109375" style="1" customWidth="1"/>
    <col min="7" max="7" width="4.7109375" style="1" customWidth="1"/>
    <col min="8" max="8" width="15.7109375" style="1" customWidth="1"/>
    <col min="9" max="9" width="4.7109375" style="1" customWidth="1"/>
    <col min="10" max="10" width="15.7109375" style="1" customWidth="1"/>
    <col min="11" max="11" width="4.7109375" style="1" customWidth="1"/>
    <col min="12" max="12" width="15.7109375" style="1" customWidth="1"/>
    <col min="13" max="13" width="4.7109375" style="1" customWidth="1"/>
    <col min="14" max="14" width="15.7109375" style="1" customWidth="1"/>
    <col min="15" max="15" width="4.7109375" style="1" customWidth="1"/>
    <col min="16" max="16" width="15.7109375" style="1" customWidth="1"/>
    <col min="17" max="17" width="4.7109375" style="1" customWidth="1"/>
    <col min="18" max="18" width="15.7109375" style="1" customWidth="1"/>
    <col min="19" max="19" width="4.7109375" style="1" customWidth="1"/>
    <col min="20" max="20" width="15.7109375" style="1" customWidth="1"/>
    <col min="21" max="21" width="4.7109375" style="1" customWidth="1"/>
    <col min="22" max="22" width="15.7109375" style="1" customWidth="1"/>
    <col min="23" max="23" width="4.7109375" style="1" customWidth="1"/>
    <col min="24" max="24" width="15.7109375" style="1" customWidth="1"/>
    <col min="25" max="25" width="4.7109375" style="1" customWidth="1"/>
    <col min="26" max="26" width="15.7109375" style="1" customWidth="1"/>
    <col min="27" max="27" width="4.7109375" style="1" customWidth="1"/>
    <col min="28" max="28" width="15.7109375" style="1" customWidth="1"/>
    <col min="29" max="29" width="4.7109375" style="1" customWidth="1"/>
    <col min="30" max="30" width="15.7109375" style="1" customWidth="1"/>
    <col min="31" max="31" width="4.7109375" style="1" customWidth="1"/>
    <col min="32" max="32" width="15.7109375" style="1" customWidth="1"/>
    <col min="33" max="33" width="4.7109375" style="1" customWidth="1"/>
    <col min="34" max="34" width="15.7109375" style="1" customWidth="1"/>
    <col min="35" max="35" width="4.7109375" style="1" customWidth="1"/>
    <col min="36" max="16384" width="9.140625" style="1"/>
  </cols>
  <sheetData>
    <row r="2" spans="2:33" x14ac:dyDescent="0.25">
      <c r="B2" s="90"/>
      <c r="C2" s="1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2"/>
    </row>
    <row r="3" spans="2:33" ht="15.75" x14ac:dyDescent="0.25">
      <c r="B3" s="3"/>
      <c r="C3" s="26"/>
      <c r="D3" s="161" t="s">
        <v>95</v>
      </c>
      <c r="E3" s="161"/>
      <c r="F3" s="161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4"/>
    </row>
    <row r="4" spans="2:33" x14ac:dyDescent="0.25">
      <c r="B4" s="3"/>
      <c r="C4" s="26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"/>
    </row>
    <row r="5" spans="2:33" x14ac:dyDescent="0.25">
      <c r="B5" s="3"/>
      <c r="C5" s="26"/>
      <c r="D5" s="8">
        <v>2012</v>
      </c>
      <c r="E5" s="9"/>
      <c r="F5" s="8">
        <v>2013</v>
      </c>
      <c r="G5" s="9"/>
      <c r="H5" s="8">
        <v>2014</v>
      </c>
      <c r="I5" s="8"/>
      <c r="J5" s="8">
        <v>2015</v>
      </c>
      <c r="K5" s="8"/>
      <c r="L5" s="8">
        <v>2016</v>
      </c>
      <c r="M5" s="39"/>
      <c r="N5" s="8">
        <v>2017</v>
      </c>
      <c r="O5" s="39"/>
      <c r="P5" s="8">
        <v>2018</v>
      </c>
      <c r="Q5" s="39"/>
      <c r="R5" s="8">
        <v>2019</v>
      </c>
      <c r="S5" s="39"/>
      <c r="T5" s="8">
        <v>2020</v>
      </c>
      <c r="U5" s="39"/>
      <c r="V5" s="8">
        <v>2021</v>
      </c>
      <c r="W5" s="39"/>
      <c r="X5" s="8">
        <v>2022</v>
      </c>
      <c r="Y5" s="39"/>
      <c r="Z5" s="8">
        <v>2023</v>
      </c>
      <c r="AA5" s="39"/>
      <c r="AB5" s="8">
        <v>2024</v>
      </c>
      <c r="AC5" s="39"/>
      <c r="AD5" s="8">
        <v>2025</v>
      </c>
      <c r="AE5" s="39"/>
      <c r="AF5" s="8">
        <v>2026</v>
      </c>
      <c r="AG5" s="4"/>
    </row>
    <row r="6" spans="2:33" x14ac:dyDescent="0.25">
      <c r="B6" s="3"/>
      <c r="C6" s="25" t="s">
        <v>96</v>
      </c>
      <c r="D6" s="122"/>
      <c r="E6" s="12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2"/>
      <c r="AG6" s="4"/>
    </row>
    <row r="7" spans="2:33" x14ac:dyDescent="0.25">
      <c r="B7" s="3"/>
      <c r="C7" s="26" t="s">
        <v>97</v>
      </c>
      <c r="D7" s="88"/>
      <c r="E7" s="26"/>
      <c r="F7" s="120">
        <f>'Financial Statements'!D17</f>
        <v>-7504.7619047618937</v>
      </c>
      <c r="G7" s="93"/>
      <c r="H7" s="120">
        <f>'Financial Statements'!F17</f>
        <v>2215.2380952381063</v>
      </c>
      <c r="I7" s="93"/>
      <c r="J7" s="120">
        <f>'Financial Statements'!H17</f>
        <v>12421.238095238077</v>
      </c>
      <c r="K7" s="93"/>
      <c r="L7" s="120">
        <f>'Financial Statements'!J17</f>
        <v>23137.538095238066</v>
      </c>
      <c r="M7" s="93"/>
      <c r="N7" s="120">
        <f>'Financial Statements'!L17</f>
        <v>34389.653095238085</v>
      </c>
      <c r="O7" s="93"/>
      <c r="P7" s="120">
        <f>'Financial Statements'!N17</f>
        <v>46204.373845238122</v>
      </c>
      <c r="Q7" s="93"/>
      <c r="R7" s="120">
        <f>'Financial Statements'!P17</f>
        <v>58609.8306327381</v>
      </c>
      <c r="S7" s="93"/>
      <c r="T7" s="120">
        <f>'Financial Statements'!R17</f>
        <v>71635.560259613092</v>
      </c>
      <c r="U7" s="93"/>
      <c r="V7" s="120">
        <f>'Financial Statements'!T17</f>
        <v>85312.576367831789</v>
      </c>
      <c r="W7" s="93"/>
      <c r="X7" s="120">
        <f>'Financial Statements'!V17</f>
        <v>99673.443281461543</v>
      </c>
      <c r="Y7" s="93"/>
      <c r="Z7" s="120">
        <f>'Financial Statements'!X17</f>
        <v>114752.35354077269</v>
      </c>
      <c r="AA7" s="93"/>
      <c r="AB7" s="120">
        <f>'Financial Statements'!Z17</f>
        <v>130585.20931304942</v>
      </c>
      <c r="AC7" s="93"/>
      <c r="AD7" s="120">
        <f>'Financial Statements'!AB17</f>
        <v>147209.70787394</v>
      </c>
      <c r="AE7" s="93"/>
      <c r="AF7" s="126">
        <f>'Financial Statements'!AD17</f>
        <v>164665.43136287504</v>
      </c>
      <c r="AG7" s="4"/>
    </row>
    <row r="8" spans="2:33" x14ac:dyDescent="0.25">
      <c r="B8" s="3"/>
      <c r="C8" s="26" t="s">
        <v>98</v>
      </c>
      <c r="D8" s="88"/>
      <c r="E8" s="26"/>
      <c r="F8" s="117">
        <f>IF(F7&gt;0,F7*Assumptions!$D$21,0)</f>
        <v>0</v>
      </c>
      <c r="G8" s="118"/>
      <c r="H8" s="117">
        <f>IF(H7&gt;0,H7*Assumptions!$D$21,0)</f>
        <v>664.57142857143185</v>
      </c>
      <c r="I8" s="118"/>
      <c r="J8" s="117">
        <f>IF(J7&gt;0,J7*Assumptions!$D$21,0)</f>
        <v>3726.3714285714232</v>
      </c>
      <c r="K8" s="118"/>
      <c r="L8" s="117">
        <f>IF(L7&gt;0,L7*Assumptions!$D$21,0)</f>
        <v>6941.2614285714199</v>
      </c>
      <c r="M8" s="118"/>
      <c r="N8" s="117">
        <f>IF(N7&gt;0,N7*Assumptions!$D$21,0)</f>
        <v>10316.895928571425</v>
      </c>
      <c r="O8" s="118"/>
      <c r="P8" s="117">
        <f>IF(P7&gt;0,P7*Assumptions!$D$21,0)</f>
        <v>13861.312153571436</v>
      </c>
      <c r="Q8" s="118"/>
      <c r="R8" s="117">
        <f>IF(R7&gt;0,R7*Assumptions!$D$21,0)</f>
        <v>17582.949189821429</v>
      </c>
      <c r="S8" s="118"/>
      <c r="T8" s="117">
        <f>IF(T7&gt;0,T7*Assumptions!$D$21,0)</f>
        <v>21490.668077883925</v>
      </c>
      <c r="U8" s="118"/>
      <c r="V8" s="117">
        <f>IF(V7&gt;0,V7*Assumptions!$D$21,0)</f>
        <v>25593.772910349537</v>
      </c>
      <c r="W8" s="118"/>
      <c r="X8" s="117">
        <f>IF(X7&gt;0,X7*Assumptions!$D$21,0)</f>
        <v>29902.032984438461</v>
      </c>
      <c r="Y8" s="118"/>
      <c r="Z8" s="117">
        <f>IF(Z7&gt;0,Z7*Assumptions!$D$21,0)</f>
        <v>34425.706062231802</v>
      </c>
      <c r="AA8" s="118"/>
      <c r="AB8" s="117">
        <f>IF(AB7&gt;0,AB7*Assumptions!$D$21,0)</f>
        <v>39175.562793914825</v>
      </c>
      <c r="AC8" s="118"/>
      <c r="AD8" s="117">
        <f>IF(AD7&gt;0,AD7*Assumptions!$D$21,0)</f>
        <v>44162.912362181996</v>
      </c>
      <c r="AE8" s="118"/>
      <c r="AF8" s="127">
        <f>IF(AF7&gt;0,AF7*Assumptions!$D$21,0)</f>
        <v>49399.629408862507</v>
      </c>
      <c r="AG8" s="4"/>
    </row>
    <row r="9" spans="2:33" x14ac:dyDescent="0.25">
      <c r="B9" s="3"/>
      <c r="C9" s="26" t="s">
        <v>99</v>
      </c>
      <c r="D9" s="88"/>
      <c r="E9" s="26"/>
      <c r="F9" s="120">
        <f>F7-F8</f>
        <v>-7504.7619047618937</v>
      </c>
      <c r="G9" s="93"/>
      <c r="H9" s="120">
        <f>H7-H8</f>
        <v>1550.6666666666745</v>
      </c>
      <c r="I9" s="93"/>
      <c r="J9" s="120">
        <f>J7-J8</f>
        <v>8694.8666666666541</v>
      </c>
      <c r="K9" s="93"/>
      <c r="L9" s="120">
        <f>L7-L8</f>
        <v>16196.276666666647</v>
      </c>
      <c r="M9" s="93"/>
      <c r="N9" s="120">
        <f>N7-N8</f>
        <v>24072.757166666663</v>
      </c>
      <c r="O9" s="93"/>
      <c r="P9" s="120">
        <f>P7-P8</f>
        <v>32343.061691666684</v>
      </c>
      <c r="Q9" s="93"/>
      <c r="R9" s="120">
        <f>R7-R8</f>
        <v>41026.881442916667</v>
      </c>
      <c r="S9" s="93"/>
      <c r="T9" s="120">
        <f>T7-T8</f>
        <v>50144.89218172917</v>
      </c>
      <c r="U9" s="93"/>
      <c r="V9" s="120">
        <f>V7-V8</f>
        <v>59718.803457482252</v>
      </c>
      <c r="W9" s="93"/>
      <c r="X9" s="120">
        <f>X7-X8</f>
        <v>69771.410297023074</v>
      </c>
      <c r="Y9" s="93"/>
      <c r="Z9" s="120">
        <f>Z7-Z8</f>
        <v>80326.647478540894</v>
      </c>
      <c r="AA9" s="93"/>
      <c r="AB9" s="120">
        <f>AB7-AB8</f>
        <v>91409.646519134592</v>
      </c>
      <c r="AC9" s="93"/>
      <c r="AD9" s="120">
        <f>AD7-AD8</f>
        <v>103046.79551175801</v>
      </c>
      <c r="AE9" s="93"/>
      <c r="AF9" s="126">
        <f>AF7-AF8</f>
        <v>115265.80195401254</v>
      </c>
      <c r="AG9" s="4"/>
    </row>
    <row r="10" spans="2:33" x14ac:dyDescent="0.25">
      <c r="B10" s="3"/>
      <c r="C10" s="26" t="s">
        <v>100</v>
      </c>
      <c r="D10" s="88"/>
      <c r="E10" s="26"/>
      <c r="F10" s="117">
        <f>'Financial Statements'!D14</f>
        <v>16904.761904761905</v>
      </c>
      <c r="G10" s="118"/>
      <c r="H10" s="117">
        <f>'Financial Statements'!F14</f>
        <v>16904.761904761905</v>
      </c>
      <c r="I10" s="118"/>
      <c r="J10" s="117">
        <f>'Financial Statements'!H14</f>
        <v>16904.761904761905</v>
      </c>
      <c r="K10" s="118"/>
      <c r="L10" s="117">
        <f>'Financial Statements'!J14</f>
        <v>16904.761904761905</v>
      </c>
      <c r="M10" s="118"/>
      <c r="N10" s="117">
        <f>'Financial Statements'!L14</f>
        <v>16904.761904761905</v>
      </c>
      <c r="O10" s="118"/>
      <c r="P10" s="117">
        <f>'Financial Statements'!N14</f>
        <v>16904.761904761905</v>
      </c>
      <c r="Q10" s="118"/>
      <c r="R10" s="117">
        <f>'Financial Statements'!P14</f>
        <v>16904.761904761905</v>
      </c>
      <c r="S10" s="118"/>
      <c r="T10" s="117">
        <f>'Financial Statements'!R14</f>
        <v>16904.761904761905</v>
      </c>
      <c r="U10" s="118"/>
      <c r="V10" s="117">
        <f>'Financial Statements'!T14</f>
        <v>16904.761904761905</v>
      </c>
      <c r="W10" s="118"/>
      <c r="X10" s="117">
        <f>'Financial Statements'!V14</f>
        <v>16904.761904761905</v>
      </c>
      <c r="Y10" s="118"/>
      <c r="Z10" s="117">
        <f>'Financial Statements'!X14</f>
        <v>16904.761904761905</v>
      </c>
      <c r="AA10" s="118"/>
      <c r="AB10" s="117">
        <f>'Financial Statements'!Z14</f>
        <v>16904.761904761905</v>
      </c>
      <c r="AC10" s="118"/>
      <c r="AD10" s="117">
        <f>'Financial Statements'!AB14</f>
        <v>16904.761904761905</v>
      </c>
      <c r="AE10" s="118"/>
      <c r="AF10" s="127">
        <f>'Financial Statements'!AD14</f>
        <v>16904.761904761905</v>
      </c>
      <c r="AG10" s="4"/>
    </row>
    <row r="11" spans="2:33" x14ac:dyDescent="0.25">
      <c r="B11" s="3"/>
      <c r="C11" s="26" t="s">
        <v>101</v>
      </c>
      <c r="D11" s="88"/>
      <c r="E11" s="26"/>
      <c r="F11" s="120">
        <f>F9+F10</f>
        <v>9400.0000000000109</v>
      </c>
      <c r="G11" s="93"/>
      <c r="H11" s="120">
        <f>H9+H10</f>
        <v>18455.42857142858</v>
      </c>
      <c r="I11" s="93"/>
      <c r="J11" s="120">
        <f>J9+J10</f>
        <v>25599.628571428559</v>
      </c>
      <c r="K11" s="93"/>
      <c r="L11" s="120">
        <f>L9+L10</f>
        <v>33101.038571428551</v>
      </c>
      <c r="M11" s="93"/>
      <c r="N11" s="120">
        <f>N9+N10</f>
        <v>40977.519071428571</v>
      </c>
      <c r="O11" s="93"/>
      <c r="P11" s="120">
        <f>P9+P10</f>
        <v>49247.823596428585</v>
      </c>
      <c r="Q11" s="93"/>
      <c r="R11" s="120">
        <f>R9+R10</f>
        <v>57931.643347678575</v>
      </c>
      <c r="S11" s="93"/>
      <c r="T11" s="120">
        <f>T9+T10</f>
        <v>67049.654086491078</v>
      </c>
      <c r="U11" s="93"/>
      <c r="V11" s="120">
        <f>V9+V10</f>
        <v>76623.56536224416</v>
      </c>
      <c r="W11" s="93"/>
      <c r="X11" s="120">
        <f>X9+X10</f>
        <v>86676.172201784982</v>
      </c>
      <c r="Y11" s="93"/>
      <c r="Z11" s="120">
        <f>Z9+Z10</f>
        <v>97231.409383302802</v>
      </c>
      <c r="AA11" s="93"/>
      <c r="AB11" s="120">
        <f>AB9+AB10</f>
        <v>108314.4084238965</v>
      </c>
      <c r="AC11" s="93"/>
      <c r="AD11" s="120">
        <f>AD9+AD10</f>
        <v>119951.55741651992</v>
      </c>
      <c r="AE11" s="93"/>
      <c r="AF11" s="126">
        <f>AF9+AF10</f>
        <v>132170.56385877443</v>
      </c>
      <c r="AG11" s="4"/>
    </row>
    <row r="12" spans="2:33" x14ac:dyDescent="0.25">
      <c r="B12" s="3"/>
      <c r="C12" s="26"/>
      <c r="D12" s="88"/>
      <c r="E12" s="26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4"/>
      <c r="AG12" s="4"/>
    </row>
    <row r="13" spans="2:33" x14ac:dyDescent="0.25">
      <c r="B13" s="3"/>
      <c r="C13" s="25" t="s">
        <v>102</v>
      </c>
      <c r="D13" s="124"/>
      <c r="E13" s="25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4"/>
      <c r="AG13" s="4"/>
    </row>
    <row r="14" spans="2:33" x14ac:dyDescent="0.25">
      <c r="B14" s="3"/>
      <c r="C14" s="26" t="s">
        <v>103</v>
      </c>
      <c r="D14" s="88"/>
      <c r="E14" s="26"/>
      <c r="F14" s="121">
        <f>'Financial Statements'!D40</f>
        <v>2142.0000000000005</v>
      </c>
      <c r="G14" s="121"/>
      <c r="H14" s="121">
        <f>'Financial Statements'!F40-'Financial Statements'!D40</f>
        <v>107.09999999999991</v>
      </c>
      <c r="I14" s="121"/>
      <c r="J14" s="121">
        <f>'Financial Statements'!H40-'Financial Statements'!F40</f>
        <v>112.45499999999993</v>
      </c>
      <c r="K14" s="121"/>
      <c r="L14" s="121">
        <f>'Financial Statements'!J40-'Financial Statements'!H40</f>
        <v>118.07774999999992</v>
      </c>
      <c r="M14" s="121"/>
      <c r="N14" s="121">
        <f>'Financial Statements'!L40-'Financial Statements'!J40</f>
        <v>123.98163750000049</v>
      </c>
      <c r="O14" s="121"/>
      <c r="P14" s="121">
        <f>'Financial Statements'!N40-'Financial Statements'!L40</f>
        <v>130.18071937499917</v>
      </c>
      <c r="Q14" s="121"/>
      <c r="R14" s="121">
        <f>'Financial Statements'!P40-'Financial Statements'!N40</f>
        <v>136.68975534375022</v>
      </c>
      <c r="S14" s="121"/>
      <c r="T14" s="121">
        <f>'Financial Statements'!R40-'Financial Statements'!P40</f>
        <v>143.52424311093773</v>
      </c>
      <c r="U14" s="121"/>
      <c r="V14" s="121">
        <f>'Financial Statements'!T40-'Financial Statements'!R40</f>
        <v>150.70045526648482</v>
      </c>
      <c r="W14" s="121"/>
      <c r="X14" s="121">
        <f>'Financial Statements'!V40-'Financial Statements'!T40</f>
        <v>158.23547802980829</v>
      </c>
      <c r="Y14" s="121"/>
      <c r="Z14" s="121">
        <f>'Financial Statements'!X40-'Financial Statements'!V40</f>
        <v>166.14725193129834</v>
      </c>
      <c r="AA14" s="121"/>
      <c r="AB14" s="121">
        <f>'Financial Statements'!Z40-'Financial Statements'!X40</f>
        <v>174.45461452786367</v>
      </c>
      <c r="AC14" s="121"/>
      <c r="AD14" s="121">
        <f>'Financial Statements'!AB40-'Financial Statements'!Z40</f>
        <v>183.17734525425749</v>
      </c>
      <c r="AE14" s="121"/>
      <c r="AF14" s="128">
        <f>'Financial Statements'!AD40-'Financial Statements'!AB40</f>
        <v>192.33621251696968</v>
      </c>
      <c r="AG14" s="4"/>
    </row>
    <row r="15" spans="2:33" x14ac:dyDescent="0.25">
      <c r="B15" s="3"/>
      <c r="C15" s="26" t="s">
        <v>20</v>
      </c>
      <c r="D15" s="88"/>
      <c r="E15" s="26"/>
      <c r="F15" s="121">
        <f>-'Financial Statements'!D29</f>
        <v>-1530.0000000000002</v>
      </c>
      <c r="G15" s="121"/>
      <c r="H15" s="121">
        <f>('Financial Statements'!F29-'Financial Statements'!D29)*-1</f>
        <v>-76.5</v>
      </c>
      <c r="I15" s="121"/>
      <c r="J15" s="121">
        <f>('Financial Statements'!H29-'Financial Statements'!F29)*-1</f>
        <v>-80.324999999999818</v>
      </c>
      <c r="K15" s="121"/>
      <c r="L15" s="121">
        <f>('Financial Statements'!J29-'Financial Statements'!H29)*-1</f>
        <v>-84.341250000000173</v>
      </c>
      <c r="M15" s="121"/>
      <c r="N15" s="121">
        <f>('Financial Statements'!L29-'Financial Statements'!J29)*-1</f>
        <v>-88.558312500000284</v>
      </c>
      <c r="O15" s="121"/>
      <c r="P15" s="121">
        <f>('Financial Statements'!N29-'Financial Statements'!L29)*-1</f>
        <v>-92.98622812499957</v>
      </c>
      <c r="Q15" s="121"/>
      <c r="R15" s="121">
        <f>('Financial Statements'!P29-'Financial Statements'!N29)*-1</f>
        <v>-97.635539531250515</v>
      </c>
      <c r="S15" s="121"/>
      <c r="T15" s="121">
        <f>('Financial Statements'!R29-'Financial Statements'!P29)*-1</f>
        <v>-102.51731650781176</v>
      </c>
      <c r="U15" s="121"/>
      <c r="V15" s="121">
        <f>('Financial Statements'!T29-'Financial Statements'!R29)*-1</f>
        <v>-107.64318233320364</v>
      </c>
      <c r="W15" s="121"/>
      <c r="X15" s="121">
        <f>('Financial Statements'!V29-'Financial Statements'!T29)*-1</f>
        <v>-113.02534144986339</v>
      </c>
      <c r="Y15" s="121"/>
      <c r="Z15" s="121">
        <f>('Financial Statements'!X29-'Financial Statements'!V29)*-1</f>
        <v>-118.67660852235576</v>
      </c>
      <c r="AA15" s="121"/>
      <c r="AB15" s="121">
        <f>('Financial Statements'!Z29-'Financial Statements'!X29)*-1</f>
        <v>-124.61043894847398</v>
      </c>
      <c r="AC15" s="121"/>
      <c r="AD15" s="121">
        <f>('Financial Statements'!AB29-'Financial Statements'!Z29)*-1</f>
        <v>-130.84096089589821</v>
      </c>
      <c r="AE15" s="121"/>
      <c r="AF15" s="128">
        <f>('Financial Statements'!AD29-'Financial Statements'!AB29)*-1</f>
        <v>-137.38300894069334</v>
      </c>
      <c r="AG15" s="4"/>
    </row>
    <row r="16" spans="2:33" x14ac:dyDescent="0.25">
      <c r="B16" s="3"/>
      <c r="C16" s="26" t="s">
        <v>19</v>
      </c>
      <c r="D16" s="88"/>
      <c r="E16" s="26"/>
      <c r="F16" s="121">
        <f>-Assumptions!D22</f>
        <v>-500</v>
      </c>
      <c r="G16" s="121"/>
      <c r="H16" s="121">
        <v>0</v>
      </c>
      <c r="I16" s="121"/>
      <c r="J16" s="121">
        <v>0</v>
      </c>
      <c r="K16" s="121"/>
      <c r="L16" s="121">
        <v>0</v>
      </c>
      <c r="M16" s="121"/>
      <c r="N16" s="121">
        <v>0</v>
      </c>
      <c r="O16" s="121"/>
      <c r="P16" s="121">
        <v>0</v>
      </c>
      <c r="Q16" s="121"/>
      <c r="R16" s="121">
        <v>0</v>
      </c>
      <c r="S16" s="121"/>
      <c r="T16" s="121">
        <v>0</v>
      </c>
      <c r="U16" s="121"/>
      <c r="V16" s="121">
        <v>0</v>
      </c>
      <c r="W16" s="121"/>
      <c r="X16" s="121">
        <v>0</v>
      </c>
      <c r="Y16" s="121"/>
      <c r="Z16" s="121">
        <v>0</v>
      </c>
      <c r="AA16" s="121"/>
      <c r="AB16" s="121">
        <v>0</v>
      </c>
      <c r="AC16" s="121"/>
      <c r="AD16" s="121">
        <v>0</v>
      </c>
      <c r="AE16" s="121"/>
      <c r="AF16" s="128">
        <v>0</v>
      </c>
      <c r="AG16" s="4"/>
    </row>
    <row r="17" spans="2:34" x14ac:dyDescent="0.25">
      <c r="B17" s="3"/>
      <c r="C17" s="26" t="s">
        <v>28</v>
      </c>
      <c r="D17" s="88"/>
      <c r="E17" s="26"/>
      <c r="F17" s="121">
        <f>'Financial Statements'!D20</f>
        <v>0</v>
      </c>
      <c r="G17" s="121"/>
      <c r="H17" s="121">
        <f>'Financial Statements'!F20-'Financial Statements'!D20</f>
        <v>0</v>
      </c>
      <c r="I17" s="121"/>
      <c r="J17" s="121">
        <f>'Financial Statements'!H20-'Financial Statements'!F20</f>
        <v>0</v>
      </c>
      <c r="K17" s="121"/>
      <c r="L17" s="121">
        <f>'Financial Statements'!J20-'Financial Statements'!H20</f>
        <v>2736.12887857142</v>
      </c>
      <c r="M17" s="121"/>
      <c r="N17" s="121">
        <f>'Financial Statements'!L20-'Financial Statements'!J20</f>
        <v>3847.6725705000058</v>
      </c>
      <c r="O17" s="121"/>
      <c r="P17" s="121">
        <f>'Financial Statements'!N20-'Financial Statements'!L20</f>
        <v>4058.9377218450127</v>
      </c>
      <c r="Q17" s="121"/>
      <c r="R17" s="121">
        <f>'Financial Statements'!P20-'Financial Statements'!N20</f>
        <v>4282.4654678110401</v>
      </c>
      <c r="S17" s="121"/>
      <c r="T17" s="121">
        <f>'Financial Statements'!R20-'Financial Statements'!P20</f>
        <v>4519.0218784640456</v>
      </c>
      <c r="U17" s="121"/>
      <c r="V17" s="121">
        <f>'Financial Statements'!T20-'Financial Statements'!R20</f>
        <v>4769.42509200329</v>
      </c>
      <c r="W17" s="121"/>
      <c r="X17" s="121">
        <f>'Financial Statements'!V20-'Financial Statements'!T20</f>
        <v>5034.5491569850019</v>
      </c>
      <c r="Y17" s="121"/>
      <c r="Z17" s="121">
        <f>'Financial Statements'!X20-'Financial Statements'!V20</f>
        <v>5177.5052960519861</v>
      </c>
      <c r="AA17" s="121"/>
      <c r="AB17" s="121">
        <f>'Financial Statements'!Z20-'Financial Statements'!X20</f>
        <v>4749.8567316830231</v>
      </c>
      <c r="AC17" s="121"/>
      <c r="AD17" s="121">
        <f>'Financial Statements'!AB20-'Financial Statements'!Z20</f>
        <v>4987.349568267171</v>
      </c>
      <c r="AE17" s="121"/>
      <c r="AF17" s="128">
        <f>'Financial Statements'!AD20-'Financial Statements'!AB20</f>
        <v>5216.1813486409083</v>
      </c>
      <c r="AG17" s="4"/>
    </row>
    <row r="18" spans="2:34" x14ac:dyDescent="0.25">
      <c r="B18" s="3"/>
      <c r="C18" s="26"/>
      <c r="D18" s="88"/>
      <c r="E18" s="26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4"/>
      <c r="AG18" s="4"/>
    </row>
    <row r="19" spans="2:34" x14ac:dyDescent="0.25">
      <c r="B19" s="3"/>
      <c r="C19" s="25" t="s">
        <v>104</v>
      </c>
      <c r="D19" s="88"/>
      <c r="E19" s="26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4"/>
      <c r="AG19" s="4"/>
    </row>
    <row r="20" spans="2:34" x14ac:dyDescent="0.25">
      <c r="B20" s="3"/>
      <c r="C20" s="26" t="s">
        <v>103</v>
      </c>
      <c r="D20" s="88"/>
      <c r="E20" s="26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126">
        <f>-SUM(F14:AF14)</f>
        <v>-4039.0604628563701</v>
      </c>
      <c r="AG20" s="4"/>
    </row>
    <row r="21" spans="2:34" x14ac:dyDescent="0.25">
      <c r="B21" s="3"/>
      <c r="C21" s="26" t="s">
        <v>20</v>
      </c>
      <c r="D21" s="88"/>
      <c r="E21" s="26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126">
        <f>-SUM(F15:AF15)</f>
        <v>2885.0431877545507</v>
      </c>
      <c r="AG21" s="4"/>
    </row>
    <row r="22" spans="2:34" x14ac:dyDescent="0.25">
      <c r="B22" s="3"/>
      <c r="C22" s="26" t="s">
        <v>19</v>
      </c>
      <c r="D22" s="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128">
        <f>-SUM(F16:AF16)</f>
        <v>500</v>
      </c>
      <c r="AG22" s="4"/>
    </row>
    <row r="23" spans="2:34" x14ac:dyDescent="0.25">
      <c r="B23" s="3"/>
      <c r="C23" s="26" t="s">
        <v>28</v>
      </c>
      <c r="D23" s="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126">
        <f>-SUM(F17:AF17)</f>
        <v>-49379.093710822905</v>
      </c>
      <c r="AG23" s="4"/>
    </row>
    <row r="24" spans="2:34" x14ac:dyDescent="0.25">
      <c r="B24" s="3"/>
      <c r="C24" s="26"/>
      <c r="D24" s="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4"/>
      <c r="AG24" s="4"/>
    </row>
    <row r="25" spans="2:34" x14ac:dyDescent="0.25">
      <c r="B25" s="3"/>
      <c r="C25" s="25" t="s">
        <v>105</v>
      </c>
      <c r="D25" s="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4"/>
      <c r="AG25" s="4"/>
    </row>
    <row r="26" spans="2:34" x14ac:dyDescent="0.25">
      <c r="B26" s="3"/>
      <c r="C26" s="26" t="s">
        <v>106</v>
      </c>
      <c r="D26" s="125">
        <f>-Assumptions!D12</f>
        <v>-250000</v>
      </c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4"/>
      <c r="AG26" s="4"/>
    </row>
    <row r="27" spans="2:34" x14ac:dyDescent="0.25">
      <c r="B27" s="3"/>
      <c r="C27" s="26" t="s">
        <v>107</v>
      </c>
      <c r="D27" s="125">
        <f>-Assumptions!D15</f>
        <v>-65000</v>
      </c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121">
        <f>Assumptions!D15*-0.2</f>
        <v>-13000</v>
      </c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121">
        <f>Assumptions!D15*-0.2</f>
        <v>-13000</v>
      </c>
      <c r="AE27" s="93"/>
      <c r="AF27" s="4"/>
      <c r="AG27" s="4"/>
      <c r="AH27" s="137"/>
    </row>
    <row r="28" spans="2:34" x14ac:dyDescent="0.25">
      <c r="B28" s="3"/>
      <c r="C28" s="26" t="s">
        <v>108</v>
      </c>
      <c r="D28" s="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126">
        <f>D26*-0.8</f>
        <v>200000</v>
      </c>
      <c r="AG28" s="4"/>
      <c r="AH28" s="138"/>
    </row>
    <row r="29" spans="2:34" x14ac:dyDescent="0.25">
      <c r="B29" s="3"/>
      <c r="C29" s="26" t="s">
        <v>109</v>
      </c>
      <c r="D29" s="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128">
        <f>Assumptions!D16</f>
        <v>5000</v>
      </c>
      <c r="AG29" s="4"/>
      <c r="AH29" s="138"/>
    </row>
    <row r="30" spans="2:34" x14ac:dyDescent="0.25">
      <c r="B30" s="3"/>
      <c r="C30" s="26" t="s">
        <v>15</v>
      </c>
      <c r="D30" s="33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129">
        <f>Assumptions!D21*(IRR!AF28-(Assumptions!D12/30*COUNT(IRR!E5:AF5)))</f>
        <v>24999.999999999996</v>
      </c>
      <c r="AG30" s="4"/>
    </row>
    <row r="31" spans="2:34" x14ac:dyDescent="0.25">
      <c r="B31" s="3"/>
      <c r="C31" s="26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4"/>
    </row>
    <row r="32" spans="2:34" x14ac:dyDescent="0.25">
      <c r="B32" s="3"/>
      <c r="C32" s="37" t="s">
        <v>110</v>
      </c>
      <c r="D32" s="90">
        <v>0</v>
      </c>
      <c r="E32" s="91"/>
      <c r="F32" s="91">
        <f>D32+1</f>
        <v>1</v>
      </c>
      <c r="G32" s="91"/>
      <c r="H32" s="91">
        <f>F32+1</f>
        <v>2</v>
      </c>
      <c r="I32" s="91"/>
      <c r="J32" s="91">
        <f>H32+1</f>
        <v>3</v>
      </c>
      <c r="K32" s="91"/>
      <c r="L32" s="91">
        <f>J32+1</f>
        <v>4</v>
      </c>
      <c r="M32" s="91"/>
      <c r="N32" s="91">
        <f>L32+1</f>
        <v>5</v>
      </c>
      <c r="O32" s="91"/>
      <c r="P32" s="91">
        <f>N32+1</f>
        <v>6</v>
      </c>
      <c r="Q32" s="91"/>
      <c r="R32" s="91">
        <f>P32+1</f>
        <v>7</v>
      </c>
      <c r="S32" s="91"/>
      <c r="T32" s="91">
        <f>R32+1</f>
        <v>8</v>
      </c>
      <c r="U32" s="91"/>
      <c r="V32" s="91">
        <f>T32+1</f>
        <v>9</v>
      </c>
      <c r="W32" s="91"/>
      <c r="X32" s="91">
        <f>V32+1</f>
        <v>10</v>
      </c>
      <c r="Y32" s="91"/>
      <c r="Z32" s="91">
        <f>X32+1</f>
        <v>11</v>
      </c>
      <c r="AA32" s="91"/>
      <c r="AB32" s="91">
        <f>Z32+1</f>
        <v>12</v>
      </c>
      <c r="AC32" s="91"/>
      <c r="AD32" s="91">
        <f>AB32+1</f>
        <v>13</v>
      </c>
      <c r="AE32" s="91"/>
      <c r="AF32" s="92">
        <f>AD32+1</f>
        <v>14</v>
      </c>
      <c r="AG32" s="4"/>
    </row>
    <row r="33" spans="2:33" x14ac:dyDescent="0.25">
      <c r="B33" s="3"/>
      <c r="C33" s="25" t="s">
        <v>111</v>
      </c>
      <c r="D33" s="125">
        <f>SUM(D11:D29)</f>
        <v>-315000</v>
      </c>
      <c r="E33" s="121"/>
      <c r="F33" s="121">
        <f>SUM(F11:F29)</f>
        <v>9512.0000000000109</v>
      </c>
      <c r="G33" s="121"/>
      <c r="H33" s="121">
        <f>SUM(H11:H29)</f>
        <v>18486.028571428578</v>
      </c>
      <c r="I33" s="121"/>
      <c r="J33" s="121">
        <f>SUM(J11:J29)</f>
        <v>25631.758571428556</v>
      </c>
      <c r="K33" s="121"/>
      <c r="L33" s="121">
        <f>SUM(L11:L29)</f>
        <v>35870.903949999971</v>
      </c>
      <c r="M33" s="121"/>
      <c r="N33" s="121">
        <f>SUM(N11:N29)</f>
        <v>44860.614966928581</v>
      </c>
      <c r="O33" s="121"/>
      <c r="P33" s="121">
        <f>SUM(P11:P29)</f>
        <v>53343.955809523592</v>
      </c>
      <c r="Q33" s="121"/>
      <c r="R33" s="121">
        <f>SUM(R11:R29)</f>
        <v>49253.163031302116</v>
      </c>
      <c r="S33" s="121"/>
      <c r="T33" s="121">
        <f>SUM(T11:T29)</f>
        <v>71609.682891558245</v>
      </c>
      <c r="U33" s="121"/>
      <c r="V33" s="121">
        <f>SUM(V11:V29)</f>
        <v>81436.047727180732</v>
      </c>
      <c r="W33" s="121"/>
      <c r="X33" s="121">
        <f>SUM(X11:X29)</f>
        <v>91755.931495349927</v>
      </c>
      <c r="Y33" s="121"/>
      <c r="Z33" s="121">
        <f>SUM(Z11:Z29)</f>
        <v>102456.38532276373</v>
      </c>
      <c r="AA33" s="121"/>
      <c r="AB33" s="121">
        <f>SUM(AB11:AB29)</f>
        <v>113114.10933115892</v>
      </c>
      <c r="AC33" s="121"/>
      <c r="AD33" s="121">
        <f>SUM(AD11:AD29)</f>
        <v>111991.24336914544</v>
      </c>
      <c r="AE33" s="121"/>
      <c r="AF33" s="128">
        <f>SUM(AF11:AF29)</f>
        <v>292408.58742506686</v>
      </c>
      <c r="AG33" s="4"/>
    </row>
    <row r="34" spans="2:33" x14ac:dyDescent="0.25">
      <c r="B34" s="3"/>
      <c r="C34" s="25" t="s">
        <v>112</v>
      </c>
      <c r="D34" s="132">
        <f>-PV(WACC!$E$10,IRR!D32,,IRR!D33)</f>
        <v>-315000</v>
      </c>
      <c r="E34" s="133"/>
      <c r="F34" s="133">
        <f>-PV(WACC!$E$10,IRR!F32,,IRR!F33)</f>
        <v>8729.0581045125527</v>
      </c>
      <c r="G34" s="133"/>
      <c r="H34" s="133">
        <f>-PV(WACC!$E$10,IRR!H32,,IRR!H33)</f>
        <v>15568.067481769785</v>
      </c>
      <c r="I34" s="133"/>
      <c r="J34" s="133">
        <f>-PV(WACC!$E$10,IRR!J32,,IRR!J33)</f>
        <v>19809.113118288067</v>
      </c>
      <c r="K34" s="133"/>
      <c r="L34" s="133">
        <f>-PV(WACC!$E$10,IRR!L32,,IRR!L33)</f>
        <v>25440.432606173817</v>
      </c>
      <c r="M34" s="133"/>
      <c r="N34" s="133">
        <f>-PV(WACC!$E$10,IRR!N32,,IRR!N33)</f>
        <v>29197.316423560456</v>
      </c>
      <c r="O34" s="133"/>
      <c r="P34" s="133">
        <f>-PV(WACC!$E$10,IRR!P32,,IRR!P33)</f>
        <v>31860.931940410737</v>
      </c>
      <c r="Q34" s="133"/>
      <c r="R34" s="133">
        <f>-PV(WACC!$E$10,IRR!R32,,IRR!R33)</f>
        <v>26996.217926025565</v>
      </c>
      <c r="S34" s="133"/>
      <c r="T34" s="133">
        <f>-PV(WACC!$E$10,IRR!T32,,IRR!T33)</f>
        <v>36019.36834663881</v>
      </c>
      <c r="U34" s="133"/>
      <c r="V34" s="133">
        <f>-PV(WACC!$E$10,IRR!V32,,IRR!V33)</f>
        <v>37590.367620001241</v>
      </c>
      <c r="W34" s="133"/>
      <c r="X34" s="133">
        <f>-PV(WACC!$E$10,IRR!X32,,IRR!X33)</f>
        <v>38867.765691082459</v>
      </c>
      <c r="Y34" s="133"/>
      <c r="Z34" s="133">
        <f>-PV(WACC!$E$10,IRR!Z32,,IRR!Z33)</f>
        <v>39828.137710502328</v>
      </c>
      <c r="AA34" s="133"/>
      <c r="AB34" s="133">
        <f>-PV(WACC!$E$10,IRR!AB32,,IRR!AB33)</f>
        <v>40351.835384511411</v>
      </c>
      <c r="AC34" s="133"/>
      <c r="AD34" s="133">
        <f>-PV(WACC!$E$10,IRR!AD32,,IRR!AD33)</f>
        <v>36662.841570386823</v>
      </c>
      <c r="AE34" s="133"/>
      <c r="AF34" s="129">
        <f>-PV(WACC!$E$10,IRR!AF32,,IRR!AF33)</f>
        <v>87847.15908624843</v>
      </c>
      <c r="AG34" s="4"/>
    </row>
    <row r="35" spans="2:33" x14ac:dyDescent="0.25">
      <c r="B35" s="3"/>
      <c r="C35" s="25" t="s">
        <v>113</v>
      </c>
      <c r="D35" s="131">
        <f>SUM(D34:AF34)</f>
        <v>159768.61301011249</v>
      </c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4"/>
    </row>
    <row r="36" spans="2:33" x14ac:dyDescent="0.25">
      <c r="B36" s="3"/>
      <c r="C36" s="25" t="s">
        <v>114</v>
      </c>
      <c r="D36" s="130">
        <f>IRR(D33:AF33)</f>
        <v>0.14131052553256085</v>
      </c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4"/>
    </row>
    <row r="37" spans="2:33" x14ac:dyDescent="0.25">
      <c r="B37" s="33"/>
      <c r="C37" s="35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34"/>
    </row>
    <row r="40" spans="2:33" x14ac:dyDescent="0.25">
      <c r="D40" s="135"/>
    </row>
    <row r="41" spans="2:33" x14ac:dyDescent="0.25">
      <c r="D41" s="119"/>
    </row>
    <row r="42" spans="2:33" x14ac:dyDescent="0.25">
      <c r="D42" s="119"/>
    </row>
    <row r="43" spans="2:33" x14ac:dyDescent="0.25">
      <c r="D43" s="134"/>
    </row>
  </sheetData>
  <mergeCells count="1">
    <mergeCell ref="D3:F3"/>
  </mergeCells>
  <pageMargins left="0.7" right="0.7" top="0.75" bottom="0.75" header="0.3" footer="0.3"/>
  <pageSetup orientation="portrait" r:id="rId1"/>
  <ignoredErrors>
    <ignoredError sqref="AF3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Assumptions</vt:lpstr>
      <vt:lpstr>Financial Statements</vt:lpstr>
      <vt:lpstr>Mortgage Payments</vt:lpstr>
      <vt:lpstr>WACC</vt:lpstr>
      <vt:lpstr>IRR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2013-12-19T18:31:46Z</dcterms:created>
  <dcterms:modified xsi:type="dcterms:W3CDTF">2019-08-14T21:34:57Z</dcterms:modified>
</cp:coreProperties>
</file>