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35" windowWidth="15480" windowHeight="11640" activeTab="3"/>
  </bookViews>
  <sheets>
    <sheet name="Proforma" sheetId="1" r:id="rId1"/>
    <sheet name="NPV.IRR" sheetId="6" r:id="rId2"/>
    <sheet name="Mortgage" sheetId="4" r:id="rId3"/>
    <sheet name="WACC" sheetId="5" r:id="rId4"/>
  </sheets>
  <definedNames>
    <definedName name="Beg_Bal">Mortgage!$C$18:$C$497</definedName>
    <definedName name="Cum_Int">Mortgage!$J$18:$J$497</definedName>
    <definedName name="Data">Mortgage!$A$18:$J$497</definedName>
    <definedName name="End_Bal">Mortgage!$I$18:$I$497</definedName>
    <definedName name="Extra_Pay">Mortgage!$E$18:$E$497</definedName>
    <definedName name="Full_Print">Mortgage!$A$1:$J$497</definedName>
    <definedName name="Header_Row">ROW(Mortgage!$17:$17)</definedName>
    <definedName name="Int">Mortgage!$H$18:$H$497</definedName>
    <definedName name="Interest_Rate">Mortgage!$C$6</definedName>
    <definedName name="Last_Row">IF(Values_Entered,Header_Row+Number_of_Payments,Header_Row)</definedName>
    <definedName name="Loan_Amount">Mortgage!$C$5</definedName>
    <definedName name="Loan_Start">Mortgage!$C$9</definedName>
    <definedName name="Loan_Years">Mortgage!$C$7</definedName>
    <definedName name="Num_Pmt_Per_Year">Mortgage!$C$8</definedName>
    <definedName name="Number_of_Payments">MATCH(0.01,End_Bal,-1)+1</definedName>
    <definedName name="Pay_Date">Mortgage!$B$18:$B$497</definedName>
    <definedName name="Pay_Num">Mortgage!$A$18:$A$497</definedName>
    <definedName name="Payment_Date">DATE(YEAR(Loan_Start),MONTH(Loan_Start)+Payment_Number,DAY(Loan_Start))</definedName>
    <definedName name="Princ">Mortgage!$G$18:$G$497</definedName>
    <definedName name="_xlnm.Print_Area" localSheetId="2">OFFSET(Full_Print,0,0,Last_Row)</definedName>
    <definedName name="Print_Area_Reset">OFFSET(Full_Print,0,0,Last_Row)</definedName>
    <definedName name="_xlnm.Print_Titles" localSheetId="2">Mortgage!$14:$17</definedName>
    <definedName name="Sched_Pay">Mortgage!$D$18:$D$497</definedName>
    <definedName name="Scheduled_Extra_Payments">Mortgage!$C$10</definedName>
    <definedName name="Scheduled_Interest_Rate">Mortgage!$C$6</definedName>
    <definedName name="Scheduled_Monthly_Payment">Mortgage!$G$5</definedName>
    <definedName name="Total_Interest">Mortgage!$G$9</definedName>
    <definedName name="Total_Pay">Mortgage!$F$18:$F$497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B20" i="6" l="1"/>
  <c r="C49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I27" i="1"/>
  <c r="C17" i="1"/>
  <c r="C50" i="1" s="1"/>
  <c r="C5" i="4" s="1"/>
  <c r="C53" i="1"/>
  <c r="I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B14" i="5"/>
  <c r="B10" i="5"/>
  <c r="B9" i="5"/>
  <c r="B11" i="5" s="1"/>
  <c r="H9" i="1"/>
  <c r="A37" i="5"/>
  <c r="B26" i="5"/>
  <c r="H14" i="1"/>
  <c r="I14" i="1"/>
  <c r="T23" i="6" l="1"/>
  <c r="T25" i="6" s="1"/>
  <c r="B39" i="6"/>
  <c r="C8" i="1"/>
  <c r="C36" i="5" l="1"/>
  <c r="D36" i="5" s="1"/>
  <c r="C34" i="5"/>
  <c r="C35" i="5" s="1"/>
  <c r="D34" i="5"/>
  <c r="D35" i="5" s="1"/>
  <c r="C36" i="1"/>
  <c r="C38" i="1" s="1"/>
  <c r="A36" i="1"/>
  <c r="A38" i="1" s="1"/>
  <c r="A37" i="1"/>
  <c r="B34" i="5"/>
  <c r="B35" i="5" s="1"/>
  <c r="D37" i="5" l="1"/>
  <c r="C37" i="5"/>
  <c r="B37" i="5"/>
  <c r="A29" i="6"/>
  <c r="A30" i="6"/>
  <c r="N24" i="1" l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C13" i="1"/>
  <c r="C12" i="1"/>
  <c r="B38" i="5"/>
  <c r="D4" i="5"/>
  <c r="A17" i="5"/>
  <c r="C38" i="5" l="1"/>
  <c r="D38" i="5"/>
  <c r="C14" i="1"/>
  <c r="I8" i="1" s="1"/>
  <c r="E41" i="1"/>
  <c r="E42" i="1"/>
  <c r="E40" i="1"/>
  <c r="C19" i="1"/>
  <c r="E19" i="1" s="1"/>
  <c r="F19" i="1" s="1"/>
  <c r="I12" i="1" s="1"/>
  <c r="A19" i="1"/>
  <c r="I39" i="1"/>
  <c r="C17" i="6" s="1"/>
  <c r="E21" i="1"/>
  <c r="F21" i="1" s="1"/>
  <c r="E22" i="1"/>
  <c r="F22" i="1" s="1"/>
  <c r="C47" i="1"/>
  <c r="I18" i="1" s="1"/>
  <c r="C46" i="1"/>
  <c r="I17" i="1" s="1"/>
  <c r="D43" i="1"/>
  <c r="D44" i="1" s="1"/>
  <c r="E44" i="1" s="1"/>
  <c r="E28" i="1"/>
  <c r="E27" i="1"/>
  <c r="E29" i="1"/>
  <c r="E30" i="1"/>
  <c r="E31" i="1"/>
  <c r="E32" i="1"/>
  <c r="E26" i="1"/>
  <c r="E38" i="5" l="1"/>
  <c r="B17" i="5" s="1"/>
  <c r="F23" i="1"/>
  <c r="I9" i="1" s="1"/>
  <c r="E43" i="1"/>
  <c r="E33" i="1"/>
  <c r="I31" i="1" s="1"/>
  <c r="D8" i="1"/>
  <c r="E8" i="1"/>
  <c r="F8" i="1"/>
  <c r="F9" i="1"/>
  <c r="F10" i="1" s="1"/>
  <c r="D10" i="1"/>
  <c r="E10" i="1"/>
  <c r="C10" i="1"/>
  <c r="C18" i="4"/>
  <c r="J5" i="4"/>
  <c r="J9" i="4" s="1"/>
  <c r="G5" i="4"/>
  <c r="G6" i="4"/>
  <c r="A18" i="4"/>
  <c r="B18" i="4" s="1"/>
  <c r="I6" i="1" l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I5" i="1"/>
  <c r="K5" i="1" s="1"/>
  <c r="L5" i="1" s="1"/>
  <c r="M5" i="1" s="1"/>
  <c r="N5" i="1" s="1"/>
  <c r="L31" i="1"/>
  <c r="P31" i="1"/>
  <c r="O31" i="1"/>
  <c r="N31" i="1"/>
  <c r="K31" i="1"/>
  <c r="M31" i="1"/>
  <c r="Q31" i="1"/>
  <c r="E37" i="1"/>
  <c r="R22" i="6" s="1"/>
  <c r="B22" i="6"/>
  <c r="K26" i="6" s="1"/>
  <c r="E35" i="1"/>
  <c r="J22" i="6" s="1"/>
  <c r="S26" i="6" s="1"/>
  <c r="C18" i="1"/>
  <c r="I10" i="1" s="1"/>
  <c r="E45" i="1"/>
  <c r="I11" i="1" s="1"/>
  <c r="D34" i="1"/>
  <c r="I43" i="1"/>
  <c r="A19" i="4"/>
  <c r="D19" i="4" s="1"/>
  <c r="H18" i="4"/>
  <c r="D18" i="4"/>
  <c r="E18" i="4" s="1"/>
  <c r="F18" i="4" s="1"/>
  <c r="G18" i="4" s="1"/>
  <c r="I28" i="1"/>
  <c r="M24" i="1"/>
  <c r="L24" i="1"/>
  <c r="K24" i="1"/>
  <c r="I24" i="1"/>
  <c r="I29" i="1" l="1"/>
  <c r="I30" i="1" s="1"/>
  <c r="K13" i="1"/>
  <c r="L13" i="1"/>
  <c r="M13" i="1"/>
  <c r="N13" i="1"/>
  <c r="I13" i="1"/>
  <c r="I32" i="1" s="1"/>
  <c r="K32" i="1" s="1"/>
  <c r="L32" i="1" s="1"/>
  <c r="M32" i="1" s="1"/>
  <c r="N32" i="1" s="1"/>
  <c r="O32" i="1" s="1"/>
  <c r="P32" i="1" s="1"/>
  <c r="Q32" i="1" s="1"/>
  <c r="B32" i="6"/>
  <c r="J18" i="4"/>
  <c r="D36" i="1"/>
  <c r="R13" i="1" s="1"/>
  <c r="R32" i="1" s="1"/>
  <c r="S31" i="1"/>
  <c r="W31" i="1"/>
  <c r="V31" i="1"/>
  <c r="R31" i="1"/>
  <c r="U31" i="1"/>
  <c r="Y31" i="1"/>
  <c r="T31" i="1"/>
  <c r="X31" i="1"/>
  <c r="D38" i="1"/>
  <c r="AA13" i="1" s="1"/>
  <c r="Z31" i="1"/>
  <c r="AA31" i="1"/>
  <c r="L10" i="1"/>
  <c r="E8" i="6" s="1"/>
  <c r="E11" i="6" s="1"/>
  <c r="P10" i="1"/>
  <c r="I8" i="6" s="1"/>
  <c r="I11" i="6" s="1"/>
  <c r="T10" i="1"/>
  <c r="X10" i="1"/>
  <c r="Q8" i="6" s="1"/>
  <c r="Q11" i="6" s="1"/>
  <c r="K10" i="1"/>
  <c r="D8" i="6" s="1"/>
  <c r="D11" i="6" s="1"/>
  <c r="Q10" i="1"/>
  <c r="J8" i="6" s="1"/>
  <c r="J11" i="6" s="1"/>
  <c r="Y10" i="1"/>
  <c r="R8" i="6" s="1"/>
  <c r="R11" i="6" s="1"/>
  <c r="O10" i="1"/>
  <c r="H8" i="6" s="1"/>
  <c r="H11" i="6" s="1"/>
  <c r="S10" i="1"/>
  <c r="W10" i="1"/>
  <c r="P8" i="6" s="1"/>
  <c r="P11" i="6" s="1"/>
  <c r="AA10" i="1"/>
  <c r="T8" i="6" s="1"/>
  <c r="T11" i="6" s="1"/>
  <c r="N10" i="1"/>
  <c r="G8" i="6" s="1"/>
  <c r="G11" i="6" s="1"/>
  <c r="R10" i="1"/>
  <c r="K8" i="6" s="1"/>
  <c r="K11" i="6" s="1"/>
  <c r="V10" i="1"/>
  <c r="Z10" i="1"/>
  <c r="M10" i="1"/>
  <c r="F8" i="6" s="1"/>
  <c r="F11" i="6" s="1"/>
  <c r="U10" i="1"/>
  <c r="O5" i="1"/>
  <c r="N7" i="1"/>
  <c r="K43" i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E4" i="5" s="1"/>
  <c r="I18" i="4"/>
  <c r="C19" i="4" s="1"/>
  <c r="H19" i="4" s="1"/>
  <c r="J19" i="4" s="1"/>
  <c r="B19" i="4"/>
  <c r="A20" i="4"/>
  <c r="K7" i="1"/>
  <c r="I7" i="1"/>
  <c r="K28" i="1"/>
  <c r="I35" i="1" l="1"/>
  <c r="N8" i="6"/>
  <c r="N11" i="6" s="1"/>
  <c r="I33" i="1"/>
  <c r="C8" i="6"/>
  <c r="C11" i="6" s="1"/>
  <c r="J9" i="1"/>
  <c r="J10" i="1"/>
  <c r="J11" i="1"/>
  <c r="J12" i="1"/>
  <c r="J13" i="1"/>
  <c r="J32" i="1" s="1"/>
  <c r="J14" i="1"/>
  <c r="K14" i="1" s="1"/>
  <c r="J16" i="1"/>
  <c r="J17" i="1"/>
  <c r="J18" i="1"/>
  <c r="K18" i="1" s="1"/>
  <c r="J8" i="1"/>
  <c r="S13" i="1"/>
  <c r="S32" i="1" s="1"/>
  <c r="V13" i="1"/>
  <c r="O8" i="6" s="1"/>
  <c r="O11" i="6" s="1"/>
  <c r="U13" i="1"/>
  <c r="Z13" i="1"/>
  <c r="Z32" i="1" s="1"/>
  <c r="AA32" i="1" s="1"/>
  <c r="T13" i="1"/>
  <c r="M8" i="6" s="1"/>
  <c r="M11" i="6" s="1"/>
  <c r="P5" i="1"/>
  <c r="O7" i="1"/>
  <c r="E19" i="4"/>
  <c r="F19" i="4" s="1"/>
  <c r="G19" i="4" s="1"/>
  <c r="I19" i="4" s="1"/>
  <c r="C20" i="4" s="1"/>
  <c r="K12" i="1"/>
  <c r="L7" i="1"/>
  <c r="M7" i="1"/>
  <c r="A21" i="4"/>
  <c r="D20" i="4"/>
  <c r="B20" i="4"/>
  <c r="L28" i="1"/>
  <c r="J7" i="1"/>
  <c r="L8" i="6" l="1"/>
  <c r="L11" i="6" s="1"/>
  <c r="S8" i="6"/>
  <c r="S11" i="6" s="1"/>
  <c r="T32" i="1"/>
  <c r="U32" i="1" s="1"/>
  <c r="V32" i="1" s="1"/>
  <c r="W32" i="1" s="1"/>
  <c r="X32" i="1" s="1"/>
  <c r="Y32" i="1" s="1"/>
  <c r="J33" i="1"/>
  <c r="J30" i="1"/>
  <c r="J39" i="1"/>
  <c r="J31" i="1"/>
  <c r="J43" i="1"/>
  <c r="J28" i="1"/>
  <c r="J29" i="1"/>
  <c r="K29" i="1"/>
  <c r="K30" i="1" s="1"/>
  <c r="N18" i="1"/>
  <c r="O18" i="1"/>
  <c r="K17" i="1"/>
  <c r="N17" i="1"/>
  <c r="O17" i="1"/>
  <c r="N14" i="1"/>
  <c r="O14" i="1"/>
  <c r="K9" i="1"/>
  <c r="N9" i="1"/>
  <c r="O9" i="1"/>
  <c r="Q5" i="1"/>
  <c r="P7" i="1"/>
  <c r="K11" i="1"/>
  <c r="N11" i="1"/>
  <c r="O11" i="1"/>
  <c r="K8" i="1"/>
  <c r="N8" i="1"/>
  <c r="O8" i="1"/>
  <c r="N12" i="1"/>
  <c r="O12" i="1"/>
  <c r="L8" i="1"/>
  <c r="L18" i="1"/>
  <c r="L11" i="1"/>
  <c r="L14" i="1"/>
  <c r="L17" i="1"/>
  <c r="L9" i="1"/>
  <c r="L12" i="1"/>
  <c r="M14" i="1"/>
  <c r="M17" i="1"/>
  <c r="M9" i="1"/>
  <c r="M18" i="1"/>
  <c r="M8" i="1"/>
  <c r="M11" i="1"/>
  <c r="M12" i="1"/>
  <c r="H20" i="4"/>
  <c r="A22" i="4"/>
  <c r="B21" i="4"/>
  <c r="D21" i="4"/>
  <c r="E20" i="4"/>
  <c r="M28" i="1"/>
  <c r="N28" i="1" s="1"/>
  <c r="J35" i="1" l="1"/>
  <c r="K33" i="1"/>
  <c r="K35" i="1" s="1"/>
  <c r="P11" i="1"/>
  <c r="L29" i="1"/>
  <c r="L30" i="1" s="1"/>
  <c r="Q7" i="1"/>
  <c r="R5" i="1"/>
  <c r="O28" i="1"/>
  <c r="P28" i="1" s="1"/>
  <c r="Q28" i="1" s="1"/>
  <c r="R28" i="1" s="1"/>
  <c r="S28" i="1" s="1"/>
  <c r="T28" i="1" s="1"/>
  <c r="U28" i="1" s="1"/>
  <c r="V28" i="1" s="1"/>
  <c r="P14" i="1"/>
  <c r="P17" i="1"/>
  <c r="P12" i="1"/>
  <c r="P8" i="1"/>
  <c r="P9" i="1"/>
  <c r="P18" i="1"/>
  <c r="F20" i="4"/>
  <c r="G20" i="4" s="1"/>
  <c r="I20" i="4" s="1"/>
  <c r="B22" i="4"/>
  <c r="A23" i="4"/>
  <c r="D22" i="4"/>
  <c r="J20" i="4"/>
  <c r="L35" i="1" l="1"/>
  <c r="K39" i="1"/>
  <c r="D17" i="6" s="1"/>
  <c r="L33" i="1"/>
  <c r="M29" i="1"/>
  <c r="M30" i="1" s="1"/>
  <c r="Q18" i="1"/>
  <c r="Q9" i="1"/>
  <c r="Q8" i="1"/>
  <c r="Q12" i="1"/>
  <c r="Q17" i="1"/>
  <c r="Q14" i="1"/>
  <c r="Q11" i="1"/>
  <c r="S5" i="1"/>
  <c r="R7" i="1"/>
  <c r="W28" i="1"/>
  <c r="C21" i="4"/>
  <c r="B23" i="4"/>
  <c r="A24" i="4"/>
  <c r="D23" i="4"/>
  <c r="M35" i="1" l="1"/>
  <c r="L39" i="1"/>
  <c r="E17" i="6" s="1"/>
  <c r="M33" i="1"/>
  <c r="N33" i="1"/>
  <c r="N29" i="1"/>
  <c r="N30" i="1" s="1"/>
  <c r="N35" i="1" s="1"/>
  <c r="T5" i="1"/>
  <c r="S7" i="1"/>
  <c r="R11" i="1"/>
  <c r="R14" i="1"/>
  <c r="R9" i="1"/>
  <c r="R12" i="1"/>
  <c r="R8" i="1"/>
  <c r="R18" i="1"/>
  <c r="R17" i="1"/>
  <c r="X28" i="1"/>
  <c r="B24" i="4"/>
  <c r="A25" i="4"/>
  <c r="D24" i="4"/>
  <c r="H21" i="4"/>
  <c r="E21" i="4"/>
  <c r="M39" i="1" l="1"/>
  <c r="F17" i="6" s="1"/>
  <c r="R33" i="1"/>
  <c r="O29" i="1"/>
  <c r="P29" i="1" s="1"/>
  <c r="O33" i="1"/>
  <c r="T7" i="1"/>
  <c r="U5" i="1"/>
  <c r="S8" i="1"/>
  <c r="S9" i="1"/>
  <c r="S12" i="1"/>
  <c r="S18" i="1"/>
  <c r="S14" i="1"/>
  <c r="S17" i="1"/>
  <c r="S11" i="1"/>
  <c r="Y28" i="1"/>
  <c r="F21" i="4"/>
  <c r="G21" i="4" s="1"/>
  <c r="I21" i="4" s="1"/>
  <c r="J21" i="4"/>
  <c r="A26" i="4"/>
  <c r="B25" i="4"/>
  <c r="D25" i="4"/>
  <c r="S33" i="1" l="1"/>
  <c r="N39" i="1"/>
  <c r="G17" i="6" s="1"/>
  <c r="O30" i="1"/>
  <c r="O35" i="1" s="1"/>
  <c r="P33" i="1"/>
  <c r="Q33" i="1"/>
  <c r="V5" i="1"/>
  <c r="U7" i="1"/>
  <c r="T14" i="1"/>
  <c r="T17" i="1"/>
  <c r="T11" i="1"/>
  <c r="T18" i="1"/>
  <c r="T8" i="1"/>
  <c r="T9" i="1"/>
  <c r="T12" i="1"/>
  <c r="P30" i="1"/>
  <c r="Q29" i="1"/>
  <c r="Z28" i="1"/>
  <c r="A27" i="4"/>
  <c r="B26" i="4"/>
  <c r="D26" i="4"/>
  <c r="C22" i="4"/>
  <c r="P35" i="1" l="1"/>
  <c r="T33" i="1"/>
  <c r="W5" i="1"/>
  <c r="V7" i="1"/>
  <c r="Q30" i="1"/>
  <c r="Q35" i="1" s="1"/>
  <c r="R29" i="1"/>
  <c r="U18" i="1"/>
  <c r="U14" i="1"/>
  <c r="U17" i="1"/>
  <c r="U11" i="1"/>
  <c r="U8" i="1"/>
  <c r="U9" i="1"/>
  <c r="U12" i="1"/>
  <c r="AA28" i="1"/>
  <c r="B27" i="4"/>
  <c r="A28" i="4"/>
  <c r="D27" i="4"/>
  <c r="H22" i="4"/>
  <c r="E22" i="4"/>
  <c r="U33" i="1" l="1"/>
  <c r="P39" i="1"/>
  <c r="I17" i="6" s="1"/>
  <c r="Q39" i="1"/>
  <c r="V9" i="1"/>
  <c r="V8" i="1"/>
  <c r="V17" i="1"/>
  <c r="V11" i="1"/>
  <c r="V12" i="1"/>
  <c r="V14" i="1"/>
  <c r="V18" i="1"/>
  <c r="V33" i="1"/>
  <c r="X5" i="1"/>
  <c r="W7" i="1"/>
  <c r="R30" i="1"/>
  <c r="R35" i="1" s="1"/>
  <c r="S29" i="1"/>
  <c r="J22" i="4"/>
  <c r="F22" i="4"/>
  <c r="G22" i="4" s="1"/>
  <c r="I22" i="4" s="1"/>
  <c r="C23" i="4" s="1"/>
  <c r="B28" i="4"/>
  <c r="A29" i="4"/>
  <c r="D28" i="4"/>
  <c r="R39" i="1" l="1"/>
  <c r="K17" i="6" s="1"/>
  <c r="Y5" i="1"/>
  <c r="X7" i="1"/>
  <c r="S30" i="1"/>
  <c r="S35" i="1" s="1"/>
  <c r="T29" i="1"/>
  <c r="W18" i="1"/>
  <c r="W12" i="1"/>
  <c r="W14" i="1"/>
  <c r="W17" i="1"/>
  <c r="W11" i="1"/>
  <c r="W8" i="1"/>
  <c r="W9" i="1"/>
  <c r="E23" i="4"/>
  <c r="H23" i="4"/>
  <c r="A30" i="4"/>
  <c r="B29" i="4"/>
  <c r="D29" i="4"/>
  <c r="W33" i="1" l="1"/>
  <c r="S39" i="1"/>
  <c r="L17" i="6" s="1"/>
  <c r="T30" i="1"/>
  <c r="T35" i="1" s="1"/>
  <c r="U29" i="1"/>
  <c r="Z5" i="1"/>
  <c r="Y7" i="1"/>
  <c r="X8" i="1"/>
  <c r="X18" i="1"/>
  <c r="X14" i="1"/>
  <c r="X17" i="1"/>
  <c r="X11" i="1"/>
  <c r="X9" i="1"/>
  <c r="X12" i="1"/>
  <c r="F23" i="4"/>
  <c r="G23" i="4" s="1"/>
  <c r="I23" i="4" s="1"/>
  <c r="C24" i="4" s="1"/>
  <c r="A31" i="4"/>
  <c r="D30" i="4"/>
  <c r="B30" i="4"/>
  <c r="J23" i="4"/>
  <c r="Y33" i="1" l="1"/>
  <c r="X33" i="1"/>
  <c r="T39" i="1"/>
  <c r="M17" i="6" s="1"/>
  <c r="U30" i="1"/>
  <c r="U35" i="1" s="1"/>
  <c r="V29" i="1"/>
  <c r="Z7" i="1"/>
  <c r="AA5" i="1"/>
  <c r="AA7" i="1" s="1"/>
  <c r="Y14" i="1"/>
  <c r="Y9" i="1"/>
  <c r="Y18" i="1"/>
  <c r="Y17" i="1"/>
  <c r="Y11" i="1"/>
  <c r="Y8" i="1"/>
  <c r="Y12" i="1"/>
  <c r="H24" i="4"/>
  <c r="E24" i="4"/>
  <c r="A32" i="4"/>
  <c r="B31" i="4"/>
  <c r="D31" i="4"/>
  <c r="U39" i="1" l="1"/>
  <c r="N17" i="6" s="1"/>
  <c r="V30" i="1"/>
  <c r="V35" i="1" s="1"/>
  <c r="W29" i="1"/>
  <c r="Z14" i="1"/>
  <c r="Z18" i="1"/>
  <c r="Z8" i="1"/>
  <c r="Z17" i="1"/>
  <c r="Z11" i="1"/>
  <c r="Z12" i="1"/>
  <c r="Z9" i="1"/>
  <c r="AA12" i="1"/>
  <c r="AA14" i="1"/>
  <c r="AA11" i="1"/>
  <c r="AA8" i="1"/>
  <c r="AA9" i="1"/>
  <c r="AA18" i="1"/>
  <c r="AA17" i="1"/>
  <c r="A33" i="4"/>
  <c r="B32" i="4"/>
  <c r="D32" i="4"/>
  <c r="F24" i="4"/>
  <c r="G24" i="4" s="1"/>
  <c r="I24" i="4" s="1"/>
  <c r="C25" i="4" s="1"/>
  <c r="J24" i="4"/>
  <c r="Z33" i="1" l="1"/>
  <c r="AA33" i="1"/>
  <c r="T26" i="6" s="1"/>
  <c r="V39" i="1"/>
  <c r="O17" i="6" s="1"/>
  <c r="W30" i="1"/>
  <c r="W35" i="1" s="1"/>
  <c r="X29" i="1"/>
  <c r="H25" i="4"/>
  <c r="J25" i="4" s="1"/>
  <c r="E25" i="4"/>
  <c r="A34" i="4"/>
  <c r="B33" i="4"/>
  <c r="D33" i="4"/>
  <c r="W39" i="1" l="1"/>
  <c r="P17" i="6" s="1"/>
  <c r="X30" i="1"/>
  <c r="X35" i="1" s="1"/>
  <c r="Y29" i="1"/>
  <c r="F25" i="4"/>
  <c r="G25" i="4" s="1"/>
  <c r="I25" i="4" s="1"/>
  <c r="C26" i="4" s="1"/>
  <c r="A35" i="4"/>
  <c r="D34" i="4"/>
  <c r="B34" i="4"/>
  <c r="X39" i="1" l="1"/>
  <c r="Q17" i="6" s="1"/>
  <c r="Y30" i="1"/>
  <c r="Y35" i="1" s="1"/>
  <c r="Z29" i="1"/>
  <c r="H26" i="4"/>
  <c r="J26" i="4" s="1"/>
  <c r="E26" i="4"/>
  <c r="A36" i="4"/>
  <c r="B35" i="4"/>
  <c r="D35" i="4"/>
  <c r="Y39" i="1" l="1"/>
  <c r="R17" i="6" s="1"/>
  <c r="Z30" i="1"/>
  <c r="Z35" i="1" s="1"/>
  <c r="AA29" i="1"/>
  <c r="A37" i="4"/>
  <c r="B36" i="4"/>
  <c r="D36" i="4"/>
  <c r="F26" i="4"/>
  <c r="G26" i="4" s="1"/>
  <c r="I26" i="4" s="1"/>
  <c r="C27" i="4" s="1"/>
  <c r="AA30" i="1" l="1"/>
  <c r="AA35" i="1" s="1"/>
  <c r="T24" i="6"/>
  <c r="Z39" i="1"/>
  <c r="S17" i="6" s="1"/>
  <c r="H27" i="4"/>
  <c r="J27" i="4" s="1"/>
  <c r="E27" i="4"/>
  <c r="A38" i="4"/>
  <c r="B37" i="4"/>
  <c r="D37" i="4"/>
  <c r="AA39" i="1" l="1"/>
  <c r="F27" i="4"/>
  <c r="G27" i="4" s="1"/>
  <c r="I27" i="4" s="1"/>
  <c r="C28" i="4" s="1"/>
  <c r="A39" i="4"/>
  <c r="B38" i="4"/>
  <c r="D38" i="4"/>
  <c r="T30" i="6" l="1"/>
  <c r="T17" i="6"/>
  <c r="H28" i="4"/>
  <c r="J28" i="4" s="1"/>
  <c r="E28" i="4"/>
  <c r="A40" i="4"/>
  <c r="B39" i="4"/>
  <c r="D39" i="4"/>
  <c r="A41" i="4" l="1"/>
  <c r="B40" i="4"/>
  <c r="D40" i="4"/>
  <c r="F28" i="4"/>
  <c r="G28" i="4" s="1"/>
  <c r="I28" i="4" s="1"/>
  <c r="C29" i="4" s="1"/>
  <c r="H29" i="4" l="1"/>
  <c r="E29" i="4"/>
  <c r="A42" i="4"/>
  <c r="D41" i="4"/>
  <c r="B41" i="4"/>
  <c r="J29" i="4" l="1"/>
  <c r="I15" i="1"/>
  <c r="A43" i="4"/>
  <c r="D42" i="4"/>
  <c r="B42" i="4"/>
  <c r="F29" i="4"/>
  <c r="G29" i="4" s="1"/>
  <c r="I29" i="4" s="1"/>
  <c r="J15" i="1" l="1"/>
  <c r="C5" i="6"/>
  <c r="I19" i="1"/>
  <c r="J19" i="1" s="1"/>
  <c r="C30" i="4"/>
  <c r="E30" i="4" s="1"/>
  <c r="I41" i="1"/>
  <c r="A44" i="4"/>
  <c r="B43" i="4"/>
  <c r="D43" i="4"/>
  <c r="I20" i="1" l="1"/>
  <c r="J20" i="1" s="1"/>
  <c r="J41" i="1"/>
  <c r="H30" i="4"/>
  <c r="F30" i="4"/>
  <c r="A45" i="4"/>
  <c r="B44" i="4"/>
  <c r="D44" i="4"/>
  <c r="G30" i="4" l="1"/>
  <c r="I30" i="4" s="1"/>
  <c r="C31" i="4" s="1"/>
  <c r="K19" i="1"/>
  <c r="L19" i="1"/>
  <c r="M19" i="1"/>
  <c r="O19" i="1"/>
  <c r="N19" i="1"/>
  <c r="P19" i="1"/>
  <c r="Q19" i="1"/>
  <c r="R19" i="1"/>
  <c r="S19" i="1"/>
  <c r="T19" i="1"/>
  <c r="U19" i="1"/>
  <c r="V19" i="1"/>
  <c r="W19" i="1"/>
  <c r="X19" i="1"/>
  <c r="Y19" i="1"/>
  <c r="Z19" i="1"/>
  <c r="AA19" i="1"/>
  <c r="I21" i="1"/>
  <c r="J30" i="4"/>
  <c r="H31" i="4"/>
  <c r="J31" i="4" s="1"/>
  <c r="E31" i="4"/>
  <c r="A46" i="4"/>
  <c r="D45" i="4"/>
  <c r="B45" i="4"/>
  <c r="J21" i="1" l="1"/>
  <c r="C6" i="6"/>
  <c r="P20" i="1"/>
  <c r="M20" i="1"/>
  <c r="O20" i="1"/>
  <c r="K20" i="1"/>
  <c r="N20" i="1"/>
  <c r="L20" i="1"/>
  <c r="Q20" i="1"/>
  <c r="R20" i="1"/>
  <c r="S20" i="1"/>
  <c r="T20" i="1"/>
  <c r="U20" i="1"/>
  <c r="V20" i="1"/>
  <c r="W20" i="1"/>
  <c r="X20" i="1"/>
  <c r="Y20" i="1"/>
  <c r="AA20" i="1"/>
  <c r="Z20" i="1"/>
  <c r="I38" i="1"/>
  <c r="I22" i="1"/>
  <c r="A47" i="4"/>
  <c r="D46" i="4"/>
  <c r="B46" i="4"/>
  <c r="F31" i="4"/>
  <c r="G31" i="4" s="1"/>
  <c r="I31" i="4" s="1"/>
  <c r="C32" i="4" s="1"/>
  <c r="J22" i="1" l="1"/>
  <c r="C4" i="6"/>
  <c r="C7" i="6" s="1"/>
  <c r="C9" i="6" s="1"/>
  <c r="N21" i="1"/>
  <c r="M21" i="1"/>
  <c r="O21" i="1"/>
  <c r="P21" i="1"/>
  <c r="K21" i="1"/>
  <c r="L21" i="1"/>
  <c r="Q21" i="1"/>
  <c r="R21" i="1"/>
  <c r="S21" i="1"/>
  <c r="T21" i="1"/>
  <c r="U21" i="1"/>
  <c r="V21" i="1"/>
  <c r="W21" i="1"/>
  <c r="X21" i="1"/>
  <c r="Y21" i="1"/>
  <c r="Z21" i="1"/>
  <c r="AA21" i="1"/>
  <c r="J38" i="1"/>
  <c r="I48" i="1"/>
  <c r="I50" i="1"/>
  <c r="I44" i="1"/>
  <c r="A48" i="4"/>
  <c r="B47" i="4"/>
  <c r="D47" i="4"/>
  <c r="H32" i="4"/>
  <c r="E32" i="4"/>
  <c r="Y38" i="1" l="1"/>
  <c r="Y48" i="1" s="1"/>
  <c r="R6" i="6"/>
  <c r="U38" i="1"/>
  <c r="U48" i="1" s="1"/>
  <c r="N6" i="6"/>
  <c r="Q38" i="1"/>
  <c r="Q48" i="1" s="1"/>
  <c r="J6" i="6"/>
  <c r="O38" i="1"/>
  <c r="H6" i="6"/>
  <c r="Z38" i="1"/>
  <c r="Z48" i="1" s="1"/>
  <c r="S6" i="6"/>
  <c r="V38" i="1"/>
  <c r="V48" i="1" s="1"/>
  <c r="O6" i="6"/>
  <c r="R38" i="1"/>
  <c r="R48" i="1" s="1"/>
  <c r="K6" i="6"/>
  <c r="P38" i="1"/>
  <c r="P48" i="1" s="1"/>
  <c r="I6" i="6"/>
  <c r="C10" i="6"/>
  <c r="C13" i="6" s="1"/>
  <c r="AA38" i="1"/>
  <c r="AA48" i="1" s="1"/>
  <c r="T6" i="6"/>
  <c r="W38" i="1"/>
  <c r="W48" i="1" s="1"/>
  <c r="P6" i="6"/>
  <c r="S38" i="1"/>
  <c r="S48" i="1" s="1"/>
  <c r="L6" i="6"/>
  <c r="K38" i="1"/>
  <c r="K48" i="1" s="1"/>
  <c r="D6" i="6"/>
  <c r="N38" i="1"/>
  <c r="N48" i="1" s="1"/>
  <c r="G6" i="6"/>
  <c r="X38" i="1"/>
  <c r="X48" i="1" s="1"/>
  <c r="Q6" i="6"/>
  <c r="T38" i="1"/>
  <c r="T48" i="1" s="1"/>
  <c r="M6" i="6"/>
  <c r="L38" i="1"/>
  <c r="L48" i="1" s="1"/>
  <c r="E6" i="6"/>
  <c r="M38" i="1"/>
  <c r="M48" i="1" s="1"/>
  <c r="F6" i="6"/>
  <c r="J44" i="1"/>
  <c r="J51" i="1" s="1"/>
  <c r="I51" i="1"/>
  <c r="I46" i="1"/>
  <c r="J50" i="1"/>
  <c r="Q22" i="1"/>
  <c r="J4" i="6" s="1"/>
  <c r="M22" i="1"/>
  <c r="F4" i="6" s="1"/>
  <c r="P22" i="1"/>
  <c r="I4" i="6" s="1"/>
  <c r="T22" i="1"/>
  <c r="M4" i="6" s="1"/>
  <c r="O22" i="1"/>
  <c r="H4" i="6" s="1"/>
  <c r="S22" i="1"/>
  <c r="L4" i="6" s="1"/>
  <c r="K22" i="1"/>
  <c r="N22" i="1"/>
  <c r="G4" i="6" s="1"/>
  <c r="R22" i="1"/>
  <c r="K4" i="6" s="1"/>
  <c r="L22" i="1"/>
  <c r="E4" i="6" s="1"/>
  <c r="U22" i="1"/>
  <c r="N4" i="6" s="1"/>
  <c r="V22" i="1"/>
  <c r="O4" i="6" s="1"/>
  <c r="W22" i="1"/>
  <c r="P4" i="6" s="1"/>
  <c r="X22" i="1"/>
  <c r="Q4" i="6" s="1"/>
  <c r="Y22" i="1"/>
  <c r="R4" i="6" s="1"/>
  <c r="Z22" i="1"/>
  <c r="S4" i="6" s="1"/>
  <c r="AA22" i="1"/>
  <c r="T4" i="6" s="1"/>
  <c r="J32" i="4"/>
  <c r="I49" i="1"/>
  <c r="F32" i="4"/>
  <c r="G32" i="4" s="1"/>
  <c r="I32" i="4" s="1"/>
  <c r="C33" i="4" s="1"/>
  <c r="A49" i="4"/>
  <c r="B48" i="4"/>
  <c r="D48" i="4"/>
  <c r="J49" i="1" l="1"/>
  <c r="C16" i="6"/>
  <c r="C32" i="6" s="1"/>
  <c r="K44" i="1"/>
  <c r="K49" i="1" s="1"/>
  <c r="D4" i="6"/>
  <c r="J46" i="1"/>
  <c r="Y50" i="1"/>
  <c r="N50" i="1"/>
  <c r="T50" i="1"/>
  <c r="Z50" i="1"/>
  <c r="V50" i="1"/>
  <c r="R50" i="1"/>
  <c r="O50" i="1"/>
  <c r="Q50" i="1"/>
  <c r="W50" i="1"/>
  <c r="L50" i="1"/>
  <c r="S50" i="1"/>
  <c r="M50" i="1"/>
  <c r="AA50" i="1"/>
  <c r="X50" i="1"/>
  <c r="U50" i="1"/>
  <c r="K50" i="1"/>
  <c r="P50" i="1"/>
  <c r="H33" i="4"/>
  <c r="E33" i="4"/>
  <c r="A50" i="4"/>
  <c r="D49" i="4"/>
  <c r="B49" i="4"/>
  <c r="L44" i="1" l="1"/>
  <c r="M44" i="1" s="1"/>
  <c r="N44" i="1" s="1"/>
  <c r="O44" i="1" s="1"/>
  <c r="P44" i="1" s="1"/>
  <c r="Q44" i="1" s="1"/>
  <c r="R44" i="1" s="1"/>
  <c r="S44" i="1" s="1"/>
  <c r="T44" i="1" s="1"/>
  <c r="U44" i="1" s="1"/>
  <c r="V44" i="1" s="1"/>
  <c r="W44" i="1" s="1"/>
  <c r="X44" i="1" s="1"/>
  <c r="Y44" i="1" s="1"/>
  <c r="Z44" i="1" s="1"/>
  <c r="AA44" i="1" s="1"/>
  <c r="E3" i="5" s="1"/>
  <c r="E5" i="5" s="1"/>
  <c r="X49" i="1"/>
  <c r="M49" i="1"/>
  <c r="U49" i="1"/>
  <c r="L49" i="1"/>
  <c r="O49" i="1"/>
  <c r="T49" i="1"/>
  <c r="Y49" i="1"/>
  <c r="AA49" i="1"/>
  <c r="W49" i="1"/>
  <c r="J33" i="4"/>
  <c r="Q49" i="1"/>
  <c r="Z49" i="1"/>
  <c r="N49" i="1"/>
  <c r="A51" i="4"/>
  <c r="D50" i="4"/>
  <c r="B50" i="4"/>
  <c r="F33" i="4"/>
  <c r="G33" i="4" s="1"/>
  <c r="I33" i="4" s="1"/>
  <c r="C34" i="4" s="1"/>
  <c r="R49" i="1" l="1"/>
  <c r="S49" i="1"/>
  <c r="V49" i="1"/>
  <c r="P49" i="1"/>
  <c r="A52" i="4"/>
  <c r="B51" i="4"/>
  <c r="D51" i="4"/>
  <c r="H34" i="4"/>
  <c r="E34" i="4"/>
  <c r="J34" i="4" l="1"/>
  <c r="F34" i="4"/>
  <c r="G34" i="4" s="1"/>
  <c r="I34" i="4" s="1"/>
  <c r="C35" i="4" s="1"/>
  <c r="A53" i="4"/>
  <c r="B52" i="4"/>
  <c r="D52" i="4"/>
  <c r="H35" i="4" l="1"/>
  <c r="E35" i="4"/>
  <c r="A54" i="4"/>
  <c r="D53" i="4"/>
  <c r="B53" i="4"/>
  <c r="J35" i="4" l="1"/>
  <c r="A55" i="4"/>
  <c r="B54" i="4"/>
  <c r="D54" i="4"/>
  <c r="F35" i="4"/>
  <c r="G35" i="4" s="1"/>
  <c r="I35" i="4" s="1"/>
  <c r="C36" i="4" s="1"/>
  <c r="A56" i="4" l="1"/>
  <c r="B55" i="4"/>
  <c r="D55" i="4"/>
  <c r="H36" i="4"/>
  <c r="J36" i="4" s="1"/>
  <c r="E36" i="4"/>
  <c r="F36" i="4" l="1"/>
  <c r="G36" i="4" s="1"/>
  <c r="I36" i="4" s="1"/>
  <c r="C37" i="4" s="1"/>
  <c r="B56" i="4"/>
  <c r="A57" i="4"/>
  <c r="D56" i="4"/>
  <c r="H37" i="4" l="1"/>
  <c r="J37" i="4" s="1"/>
  <c r="E37" i="4"/>
  <c r="B57" i="4"/>
  <c r="A58" i="4"/>
  <c r="D57" i="4"/>
  <c r="A59" i="4" l="1"/>
  <c r="B58" i="4"/>
  <c r="D58" i="4"/>
  <c r="F37" i="4"/>
  <c r="G37" i="4" s="1"/>
  <c r="I37" i="4" s="1"/>
  <c r="C38" i="4" s="1"/>
  <c r="H38" i="4" l="1"/>
  <c r="J38" i="4" s="1"/>
  <c r="E38" i="4"/>
  <c r="A60" i="4"/>
  <c r="B59" i="4"/>
  <c r="D59" i="4"/>
  <c r="B60" i="4" l="1"/>
  <c r="A61" i="4"/>
  <c r="D60" i="4"/>
  <c r="F38" i="4"/>
  <c r="G38" i="4" s="1"/>
  <c r="I38" i="4" s="1"/>
  <c r="C39" i="4" s="1"/>
  <c r="B61" i="4" l="1"/>
  <c r="A62" i="4"/>
  <c r="D61" i="4"/>
  <c r="H39" i="4"/>
  <c r="J39" i="4" s="1"/>
  <c r="E39" i="4"/>
  <c r="F39" i="4" l="1"/>
  <c r="G39" i="4" s="1"/>
  <c r="I39" i="4" s="1"/>
  <c r="C40" i="4" s="1"/>
  <c r="A63" i="4"/>
  <c r="B62" i="4"/>
  <c r="D62" i="4"/>
  <c r="H40" i="4" l="1"/>
  <c r="J40" i="4" s="1"/>
  <c r="E40" i="4"/>
  <c r="A64" i="4"/>
  <c r="B63" i="4"/>
  <c r="D63" i="4"/>
  <c r="A65" i="4" l="1"/>
  <c r="D64" i="4"/>
  <c r="B64" i="4"/>
  <c r="F40" i="4"/>
  <c r="G40" i="4" s="1"/>
  <c r="I40" i="4" s="1"/>
  <c r="C41" i="4" s="1"/>
  <c r="H41" i="4" l="1"/>
  <c r="E41" i="4"/>
  <c r="A66" i="4"/>
  <c r="D65" i="4"/>
  <c r="B65" i="4"/>
  <c r="J41" i="4" l="1"/>
  <c r="K15" i="1"/>
  <c r="D5" i="6" s="1"/>
  <c r="D7" i="6" s="1"/>
  <c r="D9" i="6" s="1"/>
  <c r="F41" i="4"/>
  <c r="G41" i="4" s="1"/>
  <c r="I41" i="4" s="1"/>
  <c r="A67" i="4"/>
  <c r="B66" i="4"/>
  <c r="D66" i="4"/>
  <c r="D10" i="6" l="1"/>
  <c r="D16" i="6" s="1"/>
  <c r="C42" i="4"/>
  <c r="E42" i="4" s="1"/>
  <c r="K41" i="1"/>
  <c r="K51" i="1" s="1"/>
  <c r="A68" i="4"/>
  <c r="B67" i="4"/>
  <c r="D67" i="4"/>
  <c r="D13" i="6" l="1"/>
  <c r="D32" i="6" s="1"/>
  <c r="K46" i="1"/>
  <c r="H42" i="4"/>
  <c r="A69" i="4"/>
  <c r="D68" i="4"/>
  <c r="B68" i="4"/>
  <c r="F42" i="4"/>
  <c r="G42" i="4" l="1"/>
  <c r="I42" i="4" s="1"/>
  <c r="C43" i="4" s="1"/>
  <c r="H43" i="4" s="1"/>
  <c r="J43" i="4" s="1"/>
  <c r="J42" i="4"/>
  <c r="A70" i="4"/>
  <c r="D69" i="4"/>
  <c r="B69" i="4"/>
  <c r="E43" i="4" l="1"/>
  <c r="F43" i="4" s="1"/>
  <c r="G43" i="4" s="1"/>
  <c r="I43" i="4" s="1"/>
  <c r="C44" i="4" s="1"/>
  <c r="A71" i="4"/>
  <c r="B70" i="4"/>
  <c r="D70" i="4"/>
  <c r="H44" i="4" l="1"/>
  <c r="E44" i="4"/>
  <c r="A72" i="4"/>
  <c r="B71" i="4"/>
  <c r="D71" i="4"/>
  <c r="J44" i="4" l="1"/>
  <c r="A73" i="4"/>
  <c r="D72" i="4"/>
  <c r="B72" i="4"/>
  <c r="F44" i="4"/>
  <c r="G44" i="4" s="1"/>
  <c r="I44" i="4" s="1"/>
  <c r="C45" i="4" s="1"/>
  <c r="H45" i="4" l="1"/>
  <c r="E45" i="4"/>
  <c r="A74" i="4"/>
  <c r="D73" i="4"/>
  <c r="B73" i="4"/>
  <c r="J45" i="4" l="1"/>
  <c r="F45" i="4"/>
  <c r="G45" i="4" s="1"/>
  <c r="I45" i="4" s="1"/>
  <c r="C46" i="4" s="1"/>
  <c r="A75" i="4"/>
  <c r="B74" i="4"/>
  <c r="D74" i="4"/>
  <c r="H46" i="4" l="1"/>
  <c r="E46" i="4"/>
  <c r="A76" i="4"/>
  <c r="B75" i="4"/>
  <c r="D75" i="4"/>
  <c r="J46" i="4" l="1"/>
  <c r="A77" i="4"/>
  <c r="D76" i="4"/>
  <c r="B76" i="4"/>
  <c r="F46" i="4"/>
  <c r="G46" i="4" s="1"/>
  <c r="I46" i="4" s="1"/>
  <c r="C47" i="4" s="1"/>
  <c r="H47" i="4" l="1"/>
  <c r="J47" i="4" s="1"/>
  <c r="E47" i="4"/>
  <c r="A78" i="4"/>
  <c r="D77" i="4"/>
  <c r="B77" i="4"/>
  <c r="F47" i="4" l="1"/>
  <c r="G47" i="4" s="1"/>
  <c r="I47" i="4" s="1"/>
  <c r="C48" i="4" s="1"/>
  <c r="A79" i="4"/>
  <c r="B78" i="4"/>
  <c r="D78" i="4"/>
  <c r="H48" i="4" l="1"/>
  <c r="J48" i="4" s="1"/>
  <c r="E48" i="4"/>
  <c r="A80" i="4"/>
  <c r="B79" i="4"/>
  <c r="D79" i="4"/>
  <c r="A81" i="4" l="1"/>
  <c r="B80" i="4"/>
  <c r="D80" i="4"/>
  <c r="F48" i="4"/>
  <c r="G48" i="4" s="1"/>
  <c r="I48" i="4" s="1"/>
  <c r="C49" i="4" s="1"/>
  <c r="A82" i="4" l="1"/>
  <c r="D81" i="4"/>
  <c r="B81" i="4"/>
  <c r="H49" i="4"/>
  <c r="J49" i="4" s="1"/>
  <c r="E49" i="4"/>
  <c r="F49" i="4" l="1"/>
  <c r="G49" i="4" s="1"/>
  <c r="I49" i="4" s="1"/>
  <c r="C50" i="4" s="1"/>
  <c r="A83" i="4"/>
  <c r="B82" i="4"/>
  <c r="D82" i="4"/>
  <c r="H50" i="4" l="1"/>
  <c r="J50" i="4" s="1"/>
  <c r="E50" i="4"/>
  <c r="A84" i="4"/>
  <c r="B83" i="4"/>
  <c r="D83" i="4"/>
  <c r="A85" i="4" l="1"/>
  <c r="B84" i="4"/>
  <c r="D84" i="4"/>
  <c r="F50" i="4"/>
  <c r="G50" i="4" s="1"/>
  <c r="I50" i="4" s="1"/>
  <c r="C51" i="4" s="1"/>
  <c r="H51" i="4" l="1"/>
  <c r="J51" i="4" s="1"/>
  <c r="E51" i="4"/>
  <c r="A86" i="4"/>
  <c r="D85" i="4"/>
  <c r="B85" i="4"/>
  <c r="A87" i="4" l="1"/>
  <c r="B86" i="4"/>
  <c r="D86" i="4"/>
  <c r="F51" i="4"/>
  <c r="G51" i="4" s="1"/>
  <c r="I51" i="4" s="1"/>
  <c r="C52" i="4" s="1"/>
  <c r="H52" i="4" l="1"/>
  <c r="J52" i="4" s="1"/>
  <c r="E52" i="4"/>
  <c r="A88" i="4"/>
  <c r="B87" i="4"/>
  <c r="D87" i="4"/>
  <c r="A89" i="4" l="1"/>
  <c r="B88" i="4"/>
  <c r="D88" i="4"/>
  <c r="F52" i="4"/>
  <c r="G52" i="4" s="1"/>
  <c r="I52" i="4" s="1"/>
  <c r="C53" i="4" s="1"/>
  <c r="A90" i="4" l="1"/>
  <c r="D89" i="4"/>
  <c r="B89" i="4"/>
  <c r="H53" i="4"/>
  <c r="E53" i="4"/>
  <c r="J53" i="4" l="1"/>
  <c r="L15" i="1"/>
  <c r="E5" i="6" s="1"/>
  <c r="E7" i="6" s="1"/>
  <c r="E9" i="6" s="1"/>
  <c r="F53" i="4"/>
  <c r="G53" i="4" s="1"/>
  <c r="I53" i="4" s="1"/>
  <c r="A91" i="4"/>
  <c r="B90" i="4"/>
  <c r="D90" i="4"/>
  <c r="E10" i="6" l="1"/>
  <c r="E16" i="6" s="1"/>
  <c r="C54" i="4"/>
  <c r="E54" i="4" s="1"/>
  <c r="L41" i="1"/>
  <c r="L51" i="1" s="1"/>
  <c r="A92" i="4"/>
  <c r="B91" i="4"/>
  <c r="D91" i="4"/>
  <c r="E13" i="6" l="1"/>
  <c r="E32" i="6" s="1"/>
  <c r="L46" i="1"/>
  <c r="H54" i="4"/>
  <c r="A93" i="4"/>
  <c r="D92" i="4"/>
  <c r="B92" i="4"/>
  <c r="F54" i="4"/>
  <c r="G54" i="4" s="1"/>
  <c r="I54" i="4" s="1"/>
  <c r="C55" i="4" s="1"/>
  <c r="J54" i="4" l="1"/>
  <c r="E55" i="4"/>
  <c r="H55" i="4"/>
  <c r="J55" i="4" s="1"/>
  <c r="A94" i="4"/>
  <c r="D93" i="4"/>
  <c r="B93" i="4"/>
  <c r="A95" i="4" l="1"/>
  <c r="B94" i="4"/>
  <c r="D94" i="4"/>
  <c r="F55" i="4"/>
  <c r="G55" i="4" s="1"/>
  <c r="I55" i="4" s="1"/>
  <c r="C56" i="4" s="1"/>
  <c r="E56" i="4" l="1"/>
  <c r="H56" i="4"/>
  <c r="A96" i="4"/>
  <c r="B95" i="4"/>
  <c r="D95" i="4"/>
  <c r="J56" i="4" l="1"/>
  <c r="A97" i="4"/>
  <c r="D96" i="4"/>
  <c r="B96" i="4"/>
  <c r="F56" i="4"/>
  <c r="G56" i="4" s="1"/>
  <c r="I56" i="4" s="1"/>
  <c r="C57" i="4" s="1"/>
  <c r="H57" i="4" l="1"/>
  <c r="E57" i="4"/>
  <c r="A98" i="4"/>
  <c r="D97" i="4"/>
  <c r="B97" i="4"/>
  <c r="J57" i="4" l="1"/>
  <c r="F57" i="4"/>
  <c r="G57" i="4" s="1"/>
  <c r="I57" i="4" s="1"/>
  <c r="C58" i="4" s="1"/>
  <c r="A99" i="4"/>
  <c r="B98" i="4"/>
  <c r="D98" i="4"/>
  <c r="A100" i="4" l="1"/>
  <c r="B99" i="4"/>
  <c r="D99" i="4"/>
  <c r="H58" i="4"/>
  <c r="E58" i="4"/>
  <c r="J58" i="4" l="1"/>
  <c r="A101" i="4"/>
  <c r="D100" i="4"/>
  <c r="B100" i="4"/>
  <c r="F58" i="4"/>
  <c r="G58" i="4" s="1"/>
  <c r="I58" i="4" s="1"/>
  <c r="C59" i="4" s="1"/>
  <c r="E59" i="4" l="1"/>
  <c r="H59" i="4"/>
  <c r="A102" i="4"/>
  <c r="D101" i="4"/>
  <c r="B101" i="4"/>
  <c r="J59" i="4" l="1"/>
  <c r="A103" i="4"/>
  <c r="B102" i="4"/>
  <c r="D102" i="4"/>
  <c r="F59" i="4"/>
  <c r="G59" i="4" s="1"/>
  <c r="I59" i="4" s="1"/>
  <c r="C60" i="4" s="1"/>
  <c r="H60" i="4" l="1"/>
  <c r="J60" i="4" s="1"/>
  <c r="E60" i="4"/>
  <c r="A104" i="4"/>
  <c r="B103" i="4"/>
  <c r="D103" i="4"/>
  <c r="A105" i="4" l="1"/>
  <c r="D104" i="4"/>
  <c r="B104" i="4"/>
  <c r="F60" i="4"/>
  <c r="G60" i="4" s="1"/>
  <c r="I60" i="4" s="1"/>
  <c r="C61" i="4" s="1"/>
  <c r="H61" i="4" l="1"/>
  <c r="J61" i="4" s="1"/>
  <c r="E61" i="4"/>
  <c r="A106" i="4"/>
  <c r="D105" i="4"/>
  <c r="B105" i="4"/>
  <c r="F61" i="4" l="1"/>
  <c r="G61" i="4" s="1"/>
  <c r="I61" i="4" s="1"/>
  <c r="C62" i="4" s="1"/>
  <c r="A107" i="4"/>
  <c r="B106" i="4"/>
  <c r="D106" i="4"/>
  <c r="E62" i="4" l="1"/>
  <c r="H62" i="4"/>
  <c r="J62" i="4" s="1"/>
  <c r="A108" i="4"/>
  <c r="B107" i="4"/>
  <c r="D107" i="4"/>
  <c r="A109" i="4" l="1"/>
  <c r="D108" i="4"/>
  <c r="B108" i="4"/>
  <c r="F62" i="4"/>
  <c r="G62" i="4" s="1"/>
  <c r="I62" i="4" s="1"/>
  <c r="C63" i="4" s="1"/>
  <c r="A110" i="4" l="1"/>
  <c r="D109" i="4"/>
  <c r="B109" i="4"/>
  <c r="E63" i="4"/>
  <c r="H63" i="4"/>
  <c r="J63" i="4" s="1"/>
  <c r="F63" i="4" l="1"/>
  <c r="G63" i="4" s="1"/>
  <c r="I63" i="4" s="1"/>
  <c r="C64" i="4" s="1"/>
  <c r="A111" i="4"/>
  <c r="B110" i="4"/>
  <c r="D110" i="4"/>
  <c r="E64" i="4" l="1"/>
  <c r="H64" i="4"/>
  <c r="J64" i="4" s="1"/>
  <c r="A112" i="4"/>
  <c r="B111" i="4"/>
  <c r="D111" i="4"/>
  <c r="A113" i="4" l="1"/>
  <c r="D112" i="4"/>
  <c r="B112" i="4"/>
  <c r="F64" i="4"/>
  <c r="G64" i="4" s="1"/>
  <c r="I64" i="4" s="1"/>
  <c r="C65" i="4" s="1"/>
  <c r="H65" i="4" l="1"/>
  <c r="E65" i="4"/>
  <c r="A114" i="4"/>
  <c r="D113" i="4"/>
  <c r="B113" i="4"/>
  <c r="J65" i="4" l="1"/>
  <c r="M15" i="1"/>
  <c r="F5" i="6" s="1"/>
  <c r="F7" i="6" s="1"/>
  <c r="F9" i="6" s="1"/>
  <c r="F65" i="4"/>
  <c r="G65" i="4" s="1"/>
  <c r="I65" i="4" s="1"/>
  <c r="A115" i="4"/>
  <c r="B114" i="4"/>
  <c r="D114" i="4"/>
  <c r="F10" i="6" l="1"/>
  <c r="F16" i="6" s="1"/>
  <c r="C66" i="4"/>
  <c r="E66" i="4" s="1"/>
  <c r="M41" i="1"/>
  <c r="M51" i="1" s="1"/>
  <c r="A116" i="4"/>
  <c r="B115" i="4"/>
  <c r="D115" i="4"/>
  <c r="F13" i="6" l="1"/>
  <c r="F32" i="6" s="1"/>
  <c r="M46" i="1"/>
  <c r="H66" i="4"/>
  <c r="A117" i="4"/>
  <c r="D116" i="4"/>
  <c r="B116" i="4"/>
  <c r="F66" i="4"/>
  <c r="G66" i="4" l="1"/>
  <c r="I66" i="4" s="1"/>
  <c r="C67" i="4" s="1"/>
  <c r="H67" i="4" s="1"/>
  <c r="J67" i="4" s="1"/>
  <c r="J66" i="4"/>
  <c r="A118" i="4"/>
  <c r="D117" i="4"/>
  <c r="B117" i="4"/>
  <c r="E67" i="4" l="1"/>
  <c r="F67" i="4" s="1"/>
  <c r="G67" i="4" s="1"/>
  <c r="I67" i="4" s="1"/>
  <c r="C68" i="4" s="1"/>
  <c r="A119" i="4"/>
  <c r="B118" i="4"/>
  <c r="D118" i="4"/>
  <c r="E68" i="4" l="1"/>
  <c r="H68" i="4"/>
  <c r="A120" i="4"/>
  <c r="D119" i="4"/>
  <c r="B119" i="4"/>
  <c r="J68" i="4" l="1"/>
  <c r="A121" i="4"/>
  <c r="B120" i="4"/>
  <c r="D120" i="4"/>
  <c r="F68" i="4"/>
  <c r="G68" i="4" s="1"/>
  <c r="I68" i="4" s="1"/>
  <c r="C69" i="4" s="1"/>
  <c r="H69" i="4" l="1"/>
  <c r="E69" i="4"/>
  <c r="A122" i="4"/>
  <c r="B121" i="4"/>
  <c r="D121" i="4"/>
  <c r="J69" i="4" l="1"/>
  <c r="A123" i="4"/>
  <c r="B122" i="4"/>
  <c r="D122" i="4"/>
  <c r="F69" i="4"/>
  <c r="G69" i="4" s="1"/>
  <c r="I69" i="4" s="1"/>
  <c r="C70" i="4" s="1"/>
  <c r="H70" i="4" l="1"/>
  <c r="E70" i="4"/>
  <c r="A124" i="4"/>
  <c r="D123" i="4"/>
  <c r="B123" i="4"/>
  <c r="J70" i="4" l="1"/>
  <c r="A125" i="4"/>
  <c r="B124" i="4"/>
  <c r="D124" i="4"/>
  <c r="F70" i="4"/>
  <c r="G70" i="4" s="1"/>
  <c r="I70" i="4" s="1"/>
  <c r="C71" i="4" s="1"/>
  <c r="H71" i="4" l="1"/>
  <c r="J71" i="4" s="1"/>
  <c r="E71" i="4"/>
  <c r="A126" i="4"/>
  <c r="B125" i="4"/>
  <c r="D125" i="4"/>
  <c r="A127" i="4" l="1"/>
  <c r="B126" i="4"/>
  <c r="D126" i="4"/>
  <c r="F71" i="4"/>
  <c r="G71" i="4" s="1"/>
  <c r="I71" i="4" s="1"/>
  <c r="C72" i="4" s="1"/>
  <c r="E72" i="4" l="1"/>
  <c r="H72" i="4"/>
  <c r="J72" i="4" s="1"/>
  <c r="A128" i="4"/>
  <c r="D127" i="4"/>
  <c r="B127" i="4"/>
  <c r="F72" i="4" l="1"/>
  <c r="G72" i="4" s="1"/>
  <c r="I72" i="4" s="1"/>
  <c r="C73" i="4" s="1"/>
  <c r="A129" i="4"/>
  <c r="B128" i="4"/>
  <c r="D128" i="4"/>
  <c r="H73" i="4" l="1"/>
  <c r="J73" i="4" s="1"/>
  <c r="E73" i="4"/>
  <c r="A130" i="4"/>
  <c r="B129" i="4"/>
  <c r="D129" i="4"/>
  <c r="A131" i="4" l="1"/>
  <c r="D130" i="4"/>
  <c r="B130" i="4"/>
  <c r="F73" i="4"/>
  <c r="G73" i="4" s="1"/>
  <c r="I73" i="4" s="1"/>
  <c r="C74" i="4" s="1"/>
  <c r="H74" i="4" l="1"/>
  <c r="J74" i="4" s="1"/>
  <c r="E74" i="4"/>
  <c r="B131" i="4"/>
  <c r="A132" i="4"/>
  <c r="D131" i="4"/>
  <c r="A133" i="4" l="1"/>
  <c r="B132" i="4"/>
  <c r="D132" i="4"/>
  <c r="F74" i="4"/>
  <c r="G74" i="4" s="1"/>
  <c r="I74" i="4" s="1"/>
  <c r="C75" i="4" s="1"/>
  <c r="E75" i="4" l="1"/>
  <c r="H75" i="4"/>
  <c r="J75" i="4" s="1"/>
  <c r="B133" i="4"/>
  <c r="A134" i="4"/>
  <c r="D133" i="4"/>
  <c r="A135" i="4" l="1"/>
  <c r="B134" i="4"/>
  <c r="D134" i="4"/>
  <c r="F75" i="4"/>
  <c r="G75" i="4" s="1"/>
  <c r="I75" i="4" s="1"/>
  <c r="C76" i="4" s="1"/>
  <c r="E76" i="4" l="1"/>
  <c r="H76" i="4"/>
  <c r="J76" i="4" s="1"/>
  <c r="A136" i="4"/>
  <c r="B135" i="4"/>
  <c r="D135" i="4"/>
  <c r="A137" i="4" l="1"/>
  <c r="B136" i="4"/>
  <c r="D136" i="4"/>
  <c r="F76" i="4"/>
  <c r="G76" i="4" s="1"/>
  <c r="I76" i="4" s="1"/>
  <c r="C77" i="4" s="1"/>
  <c r="H77" i="4" l="1"/>
  <c r="E77" i="4"/>
  <c r="A138" i="4"/>
  <c r="D137" i="4"/>
  <c r="B137" i="4"/>
  <c r="J77" i="4" l="1"/>
  <c r="N15" i="1"/>
  <c r="G5" i="6" s="1"/>
  <c r="G7" i="6" s="1"/>
  <c r="G9" i="6" s="1"/>
  <c r="A139" i="4"/>
  <c r="B138" i="4"/>
  <c r="D138" i="4"/>
  <c r="F77" i="4"/>
  <c r="G77" i="4" s="1"/>
  <c r="I77" i="4" s="1"/>
  <c r="G10" i="6" l="1"/>
  <c r="G16" i="6" s="1"/>
  <c r="C78" i="4"/>
  <c r="E78" i="4" s="1"/>
  <c r="N41" i="1"/>
  <c r="N51" i="1" s="1"/>
  <c r="A140" i="4"/>
  <c r="B139" i="4"/>
  <c r="D139" i="4"/>
  <c r="G13" i="6" l="1"/>
  <c r="G32" i="6" s="1"/>
  <c r="N46" i="1"/>
  <c r="H78" i="4"/>
  <c r="A141" i="4"/>
  <c r="B140" i="4"/>
  <c r="D140" i="4"/>
  <c r="F78" i="4"/>
  <c r="G78" i="4" s="1"/>
  <c r="I78" i="4" s="1"/>
  <c r="C79" i="4" s="1"/>
  <c r="J78" i="4" l="1"/>
  <c r="H79" i="4"/>
  <c r="J79" i="4" s="1"/>
  <c r="E79" i="4"/>
  <c r="A142" i="4"/>
  <c r="D141" i="4"/>
  <c r="B141" i="4"/>
  <c r="A143" i="4" l="1"/>
  <c r="B142" i="4"/>
  <c r="D142" i="4"/>
  <c r="F79" i="4"/>
  <c r="G79" i="4" s="1"/>
  <c r="I79" i="4" s="1"/>
  <c r="C80" i="4" s="1"/>
  <c r="H80" i="4" l="1"/>
  <c r="E80" i="4"/>
  <c r="A144" i="4"/>
  <c r="B143" i="4"/>
  <c r="D143" i="4"/>
  <c r="J80" i="4" l="1"/>
  <c r="A145" i="4"/>
  <c r="B144" i="4"/>
  <c r="D144" i="4"/>
  <c r="F80" i="4"/>
  <c r="G80" i="4" s="1"/>
  <c r="I80" i="4" s="1"/>
  <c r="C81" i="4" s="1"/>
  <c r="H81" i="4" l="1"/>
  <c r="E81" i="4"/>
  <c r="A146" i="4"/>
  <c r="D145" i="4"/>
  <c r="B145" i="4"/>
  <c r="J81" i="4" l="1"/>
  <c r="A147" i="4"/>
  <c r="B146" i="4"/>
  <c r="D146" i="4"/>
  <c r="F81" i="4"/>
  <c r="G81" i="4" s="1"/>
  <c r="I81" i="4" s="1"/>
  <c r="C82" i="4" s="1"/>
  <c r="H82" i="4" l="1"/>
  <c r="E82" i="4"/>
  <c r="A148" i="4"/>
  <c r="B147" i="4"/>
  <c r="D147" i="4"/>
  <c r="J82" i="4" l="1"/>
  <c r="A149" i="4"/>
  <c r="B148" i="4"/>
  <c r="D148" i="4"/>
  <c r="F82" i="4"/>
  <c r="G82" i="4" s="1"/>
  <c r="I82" i="4" s="1"/>
  <c r="C83" i="4" s="1"/>
  <c r="H83" i="4" l="1"/>
  <c r="J83" i="4" s="1"/>
  <c r="E83" i="4"/>
  <c r="A150" i="4"/>
  <c r="D149" i="4"/>
  <c r="B149" i="4"/>
  <c r="A151" i="4" l="1"/>
  <c r="B150" i="4"/>
  <c r="D150" i="4"/>
  <c r="F83" i="4"/>
  <c r="G83" i="4" s="1"/>
  <c r="I83" i="4" s="1"/>
  <c r="C84" i="4" s="1"/>
  <c r="H84" i="4" l="1"/>
  <c r="J84" i="4" s="1"/>
  <c r="E84" i="4"/>
  <c r="A152" i="4"/>
  <c r="D151" i="4"/>
  <c r="B151" i="4"/>
  <c r="A153" i="4" l="1"/>
  <c r="B152" i="4"/>
  <c r="D152" i="4"/>
  <c r="F84" i="4"/>
  <c r="G84" i="4" s="1"/>
  <c r="I84" i="4" s="1"/>
  <c r="C85" i="4" s="1"/>
  <c r="H85" i="4" l="1"/>
  <c r="J85" i="4" s="1"/>
  <c r="E85" i="4"/>
  <c r="B153" i="4"/>
  <c r="A154" i="4"/>
  <c r="D153" i="4"/>
  <c r="F85" i="4" l="1"/>
  <c r="G85" i="4" s="1"/>
  <c r="I85" i="4" s="1"/>
  <c r="C86" i="4" s="1"/>
  <c r="A155" i="4"/>
  <c r="B154" i="4"/>
  <c r="D154" i="4"/>
  <c r="H86" i="4" l="1"/>
  <c r="J86" i="4" s="1"/>
  <c r="E86" i="4"/>
  <c r="B155" i="4"/>
  <c r="A156" i="4"/>
  <c r="D155" i="4"/>
  <c r="F86" i="4" l="1"/>
  <c r="G86" i="4" s="1"/>
  <c r="I86" i="4" s="1"/>
  <c r="C87" i="4" s="1"/>
  <c r="A157" i="4"/>
  <c r="B156" i="4"/>
  <c r="D156" i="4"/>
  <c r="H87" i="4" l="1"/>
  <c r="J87" i="4" s="1"/>
  <c r="E87" i="4"/>
  <c r="A158" i="4"/>
  <c r="B157" i="4"/>
  <c r="D157" i="4"/>
  <c r="A159" i="4" l="1"/>
  <c r="B158" i="4"/>
  <c r="D158" i="4"/>
  <c r="F87" i="4"/>
  <c r="G87" i="4" s="1"/>
  <c r="I87" i="4" s="1"/>
  <c r="C88" i="4" s="1"/>
  <c r="H88" i="4" l="1"/>
  <c r="J88" i="4" s="1"/>
  <c r="E88" i="4"/>
  <c r="B159" i="4"/>
  <c r="A160" i="4"/>
  <c r="D159" i="4"/>
  <c r="F88" i="4" l="1"/>
  <c r="G88" i="4" s="1"/>
  <c r="I88" i="4" s="1"/>
  <c r="C89" i="4" s="1"/>
  <c r="B160" i="4"/>
  <c r="A161" i="4"/>
  <c r="D160" i="4"/>
  <c r="H89" i="4" l="1"/>
  <c r="E89" i="4"/>
  <c r="A162" i="4"/>
  <c r="B161" i="4"/>
  <c r="D161" i="4"/>
  <c r="J89" i="4" l="1"/>
  <c r="O15" i="1"/>
  <c r="H5" i="6" s="1"/>
  <c r="H7" i="6" s="1"/>
  <c r="H9" i="6" s="1"/>
  <c r="A163" i="4"/>
  <c r="B162" i="4"/>
  <c r="D162" i="4"/>
  <c r="F89" i="4"/>
  <c r="G89" i="4" s="1"/>
  <c r="I89" i="4" s="1"/>
  <c r="H10" i="6" l="1"/>
  <c r="H16" i="6" s="1"/>
  <c r="C90" i="4"/>
  <c r="E90" i="4" s="1"/>
  <c r="O41" i="1"/>
  <c r="B163" i="4"/>
  <c r="A164" i="4"/>
  <c r="D163" i="4"/>
  <c r="H13" i="6" l="1"/>
  <c r="O46" i="1"/>
  <c r="O51" i="1"/>
  <c r="H90" i="4"/>
  <c r="F90" i="4"/>
  <c r="B164" i="4"/>
  <c r="A165" i="4"/>
  <c r="D164" i="4"/>
  <c r="J90" i="4" l="1"/>
  <c r="G90" i="4"/>
  <c r="I90" i="4" s="1"/>
  <c r="C91" i="4" s="1"/>
  <c r="H91" i="4" s="1"/>
  <c r="A166" i="4"/>
  <c r="B165" i="4"/>
  <c r="D165" i="4"/>
  <c r="E91" i="4" l="1"/>
  <c r="F91" i="4" s="1"/>
  <c r="G91" i="4" s="1"/>
  <c r="I91" i="4" s="1"/>
  <c r="C92" i="4" s="1"/>
  <c r="J91" i="4"/>
  <c r="A167" i="4"/>
  <c r="B166" i="4"/>
  <c r="D166" i="4"/>
  <c r="H92" i="4" l="1"/>
  <c r="E92" i="4"/>
  <c r="B167" i="4"/>
  <c r="A168" i="4"/>
  <c r="D167" i="4"/>
  <c r="J92" i="4" l="1"/>
  <c r="B168" i="4"/>
  <c r="A169" i="4"/>
  <c r="D168" i="4"/>
  <c r="F92" i="4"/>
  <c r="G92" i="4" s="1"/>
  <c r="I92" i="4" s="1"/>
  <c r="C93" i="4" s="1"/>
  <c r="E93" i="4" l="1"/>
  <c r="H93" i="4"/>
  <c r="A170" i="4"/>
  <c r="B169" i="4"/>
  <c r="D169" i="4"/>
  <c r="J93" i="4" l="1"/>
  <c r="A171" i="4"/>
  <c r="B170" i="4"/>
  <c r="D170" i="4"/>
  <c r="F93" i="4"/>
  <c r="G93" i="4" s="1"/>
  <c r="I93" i="4" s="1"/>
  <c r="C94" i="4" s="1"/>
  <c r="H94" i="4" l="1"/>
  <c r="E94" i="4"/>
  <c r="B171" i="4"/>
  <c r="A172" i="4"/>
  <c r="D171" i="4"/>
  <c r="J94" i="4" l="1"/>
  <c r="F94" i="4"/>
  <c r="G94" i="4" s="1"/>
  <c r="I94" i="4" s="1"/>
  <c r="C95" i="4" s="1"/>
  <c r="B172" i="4"/>
  <c r="A173" i="4"/>
  <c r="D172" i="4"/>
  <c r="A174" i="4" l="1"/>
  <c r="B173" i="4"/>
  <c r="D173" i="4"/>
  <c r="H95" i="4"/>
  <c r="J95" i="4" s="1"/>
  <c r="E95" i="4"/>
  <c r="F95" i="4" l="1"/>
  <c r="G95" i="4" s="1"/>
  <c r="I95" i="4" s="1"/>
  <c r="C96" i="4" s="1"/>
  <c r="A175" i="4"/>
  <c r="B174" i="4"/>
  <c r="D174" i="4"/>
  <c r="H96" i="4" l="1"/>
  <c r="J96" i="4" s="1"/>
  <c r="E96" i="4"/>
  <c r="A176" i="4"/>
  <c r="D175" i="4"/>
  <c r="B175" i="4"/>
  <c r="A177" i="4" l="1"/>
  <c r="D176" i="4"/>
  <c r="B176" i="4"/>
  <c r="F96" i="4"/>
  <c r="G96" i="4" s="1"/>
  <c r="I96" i="4" s="1"/>
  <c r="C97" i="4" s="1"/>
  <c r="H97" i="4" l="1"/>
  <c r="J97" i="4" s="1"/>
  <c r="E97" i="4"/>
  <c r="A178" i="4"/>
  <c r="B177" i="4"/>
  <c r="D177" i="4"/>
  <c r="A179" i="4" l="1"/>
  <c r="B178" i="4"/>
  <c r="D178" i="4"/>
  <c r="F97" i="4"/>
  <c r="G97" i="4" s="1"/>
  <c r="I97" i="4" s="1"/>
  <c r="C98" i="4" s="1"/>
  <c r="A180" i="4" l="1"/>
  <c r="D179" i="4"/>
  <c r="B179" i="4"/>
  <c r="H98" i="4"/>
  <c r="J98" i="4" s="1"/>
  <c r="E98" i="4"/>
  <c r="F98" i="4" l="1"/>
  <c r="G98" i="4" s="1"/>
  <c r="I98" i="4" s="1"/>
  <c r="C99" i="4" s="1"/>
  <c r="A181" i="4"/>
  <c r="D180" i="4"/>
  <c r="B180" i="4"/>
  <c r="H99" i="4" l="1"/>
  <c r="J99" i="4" s="1"/>
  <c r="E99" i="4"/>
  <c r="A182" i="4"/>
  <c r="B181" i="4"/>
  <c r="D181" i="4"/>
  <c r="A183" i="4" l="1"/>
  <c r="B182" i="4"/>
  <c r="D182" i="4"/>
  <c r="F99" i="4"/>
  <c r="G99" i="4" s="1"/>
  <c r="I99" i="4" s="1"/>
  <c r="C100" i="4" s="1"/>
  <c r="H100" i="4" l="1"/>
  <c r="J100" i="4" s="1"/>
  <c r="E100" i="4"/>
  <c r="A184" i="4"/>
  <c r="D183" i="4"/>
  <c r="B183" i="4"/>
  <c r="A185" i="4" l="1"/>
  <c r="D184" i="4"/>
  <c r="B184" i="4"/>
  <c r="F100" i="4"/>
  <c r="G100" i="4" s="1"/>
  <c r="I100" i="4" s="1"/>
  <c r="C101" i="4" s="1"/>
  <c r="H101" i="4" l="1"/>
  <c r="E101" i="4"/>
  <c r="A186" i="4"/>
  <c r="B185" i="4"/>
  <c r="D185" i="4"/>
  <c r="J101" i="4" l="1"/>
  <c r="P15" i="1"/>
  <c r="I5" i="6" s="1"/>
  <c r="I7" i="6" s="1"/>
  <c r="I9" i="6" s="1"/>
  <c r="A187" i="4"/>
  <c r="B186" i="4"/>
  <c r="D186" i="4"/>
  <c r="F101" i="4"/>
  <c r="G101" i="4" s="1"/>
  <c r="I101" i="4" s="1"/>
  <c r="I10" i="6" l="1"/>
  <c r="I16" i="6" s="1"/>
  <c r="C102" i="4"/>
  <c r="E102" i="4" s="1"/>
  <c r="P41" i="1"/>
  <c r="P51" i="1" s="1"/>
  <c r="A188" i="4"/>
  <c r="D187" i="4"/>
  <c r="B187" i="4"/>
  <c r="I13" i="6" l="1"/>
  <c r="I32" i="6" s="1"/>
  <c r="P46" i="1"/>
  <c r="H102" i="4"/>
  <c r="F102" i="4"/>
  <c r="A189" i="4"/>
  <c r="D188" i="4"/>
  <c r="B188" i="4"/>
  <c r="J102" i="4" l="1"/>
  <c r="G102" i="4"/>
  <c r="I102" i="4" s="1"/>
  <c r="C103" i="4" s="1"/>
  <c r="E103" i="4" s="1"/>
  <c r="A190" i="4"/>
  <c r="B189" i="4"/>
  <c r="D189" i="4"/>
  <c r="H103" i="4" l="1"/>
  <c r="A191" i="4"/>
  <c r="B190" i="4"/>
  <c r="D190" i="4"/>
  <c r="F103" i="4"/>
  <c r="G103" i="4" s="1"/>
  <c r="I103" i="4" s="1"/>
  <c r="C104" i="4" s="1"/>
  <c r="J103" i="4" l="1"/>
  <c r="H104" i="4"/>
  <c r="J104" i="4" s="1"/>
  <c r="E104" i="4"/>
  <c r="A192" i="4"/>
  <c r="D191" i="4"/>
  <c r="B191" i="4"/>
  <c r="A193" i="4" l="1"/>
  <c r="D192" i="4"/>
  <c r="B192" i="4"/>
  <c r="F104" i="4"/>
  <c r="G104" i="4" s="1"/>
  <c r="I104" i="4" s="1"/>
  <c r="C105" i="4" s="1"/>
  <c r="H105" i="4" l="1"/>
  <c r="E105" i="4"/>
  <c r="A194" i="4"/>
  <c r="B193" i="4"/>
  <c r="D193" i="4"/>
  <c r="J105" i="4" l="1"/>
  <c r="A195" i="4"/>
  <c r="B194" i="4"/>
  <c r="D194" i="4"/>
  <c r="F105" i="4"/>
  <c r="G105" i="4" s="1"/>
  <c r="I105" i="4" s="1"/>
  <c r="C106" i="4" s="1"/>
  <c r="A196" i="4" l="1"/>
  <c r="D195" i="4"/>
  <c r="B195" i="4"/>
  <c r="H106" i="4"/>
  <c r="E106" i="4"/>
  <c r="J106" i="4" l="1"/>
  <c r="F106" i="4"/>
  <c r="G106" i="4" s="1"/>
  <c r="I106" i="4" s="1"/>
  <c r="C107" i="4" s="1"/>
  <c r="A197" i="4"/>
  <c r="D196" i="4"/>
  <c r="B196" i="4"/>
  <c r="H107" i="4" l="1"/>
  <c r="E107" i="4"/>
  <c r="A198" i="4"/>
  <c r="B197" i="4"/>
  <c r="D197" i="4"/>
  <c r="J107" i="4" l="1"/>
  <c r="A199" i="4"/>
  <c r="B198" i="4"/>
  <c r="D198" i="4"/>
  <c r="F107" i="4"/>
  <c r="G107" i="4" s="1"/>
  <c r="I107" i="4" s="1"/>
  <c r="C108" i="4" s="1"/>
  <c r="E108" i="4" l="1"/>
  <c r="H108" i="4"/>
  <c r="J108" i="4" s="1"/>
  <c r="A200" i="4"/>
  <c r="D199" i="4"/>
  <c r="B199" i="4"/>
  <c r="A201" i="4" l="1"/>
  <c r="D200" i="4"/>
  <c r="B200" i="4"/>
  <c r="F108" i="4"/>
  <c r="G108" i="4" s="1"/>
  <c r="I108" i="4" s="1"/>
  <c r="C109" i="4" s="1"/>
  <c r="H109" i="4" l="1"/>
  <c r="J109" i="4" s="1"/>
  <c r="E109" i="4"/>
  <c r="A202" i="4"/>
  <c r="B201" i="4"/>
  <c r="D201" i="4"/>
  <c r="A203" i="4" l="1"/>
  <c r="B202" i="4"/>
  <c r="D202" i="4"/>
  <c r="F109" i="4"/>
  <c r="G109" i="4" s="1"/>
  <c r="I109" i="4" s="1"/>
  <c r="C110" i="4" s="1"/>
  <c r="H110" i="4" l="1"/>
  <c r="J110" i="4" s="1"/>
  <c r="E110" i="4"/>
  <c r="A204" i="4"/>
  <c r="D203" i="4"/>
  <c r="B203" i="4"/>
  <c r="A205" i="4" l="1"/>
  <c r="D204" i="4"/>
  <c r="B204" i="4"/>
  <c r="F110" i="4"/>
  <c r="G110" i="4" s="1"/>
  <c r="I110" i="4" s="1"/>
  <c r="C111" i="4" s="1"/>
  <c r="H111" i="4" l="1"/>
  <c r="J111" i="4" s="1"/>
  <c r="E111" i="4"/>
  <c r="A206" i="4"/>
  <c r="B205" i="4"/>
  <c r="D205" i="4"/>
  <c r="F111" i="4" l="1"/>
  <c r="G111" i="4" s="1"/>
  <c r="I111" i="4" s="1"/>
  <c r="C112" i="4" s="1"/>
  <c r="A207" i="4"/>
  <c r="B206" i="4"/>
  <c r="D206" i="4"/>
  <c r="E112" i="4" l="1"/>
  <c r="H112" i="4"/>
  <c r="J112" i="4" s="1"/>
  <c r="A208" i="4"/>
  <c r="D207" i="4"/>
  <c r="B207" i="4"/>
  <c r="A209" i="4" l="1"/>
  <c r="D208" i="4"/>
  <c r="B208" i="4"/>
  <c r="F112" i="4"/>
  <c r="G112" i="4" s="1"/>
  <c r="I112" i="4" s="1"/>
  <c r="C113" i="4" s="1"/>
  <c r="H113" i="4" l="1"/>
  <c r="E113" i="4"/>
  <c r="A210" i="4"/>
  <c r="B209" i="4"/>
  <c r="D209" i="4"/>
  <c r="J113" i="4" l="1"/>
  <c r="Q15" i="1"/>
  <c r="J5" i="6" s="1"/>
  <c r="J7" i="6" s="1"/>
  <c r="J9" i="6" s="1"/>
  <c r="F113" i="4"/>
  <c r="G113" i="4" s="1"/>
  <c r="I113" i="4" s="1"/>
  <c r="A211" i="4"/>
  <c r="B210" i="4"/>
  <c r="D210" i="4"/>
  <c r="J10" i="6" l="1"/>
  <c r="J16" i="6" s="1"/>
  <c r="C114" i="4"/>
  <c r="E114" i="4" s="1"/>
  <c r="Q41" i="1"/>
  <c r="Q51" i="1" s="1"/>
  <c r="A212" i="4"/>
  <c r="D211" i="4"/>
  <c r="B211" i="4"/>
  <c r="J13" i="6" l="1"/>
  <c r="Q46" i="1"/>
  <c r="H114" i="4"/>
  <c r="A213" i="4"/>
  <c r="D212" i="4"/>
  <c r="B212" i="4"/>
  <c r="F114" i="4"/>
  <c r="G114" i="4" s="1"/>
  <c r="I114" i="4" s="1"/>
  <c r="C115" i="4" s="1"/>
  <c r="J114" i="4" l="1"/>
  <c r="H115" i="4"/>
  <c r="J115" i="4" s="1"/>
  <c r="E115" i="4"/>
  <c r="A214" i="4"/>
  <c r="B213" i="4"/>
  <c r="D213" i="4"/>
  <c r="F115" i="4" l="1"/>
  <c r="G115" i="4" s="1"/>
  <c r="I115" i="4" s="1"/>
  <c r="C116" i="4" s="1"/>
  <c r="A215" i="4"/>
  <c r="B214" i="4"/>
  <c r="D214" i="4"/>
  <c r="E116" i="4" l="1"/>
  <c r="H116" i="4"/>
  <c r="A216" i="4"/>
  <c r="D215" i="4"/>
  <c r="B215" i="4"/>
  <c r="J116" i="4" l="1"/>
  <c r="A217" i="4"/>
  <c r="D216" i="4"/>
  <c r="B216" i="4"/>
  <c r="F116" i="4"/>
  <c r="G116" i="4" s="1"/>
  <c r="I116" i="4" s="1"/>
  <c r="C117" i="4" s="1"/>
  <c r="A218" i="4" l="1"/>
  <c r="B217" i="4"/>
  <c r="D217" i="4"/>
  <c r="H117" i="4"/>
  <c r="E117" i="4"/>
  <c r="J117" i="4" l="1"/>
  <c r="F117" i="4"/>
  <c r="G117" i="4" s="1"/>
  <c r="I117" i="4" s="1"/>
  <c r="C118" i="4" s="1"/>
  <c r="A219" i="4"/>
  <c r="B218" i="4"/>
  <c r="D218" i="4"/>
  <c r="H118" i="4" l="1"/>
  <c r="E118" i="4"/>
  <c r="A220" i="4"/>
  <c r="D219" i="4"/>
  <c r="B219" i="4"/>
  <c r="J118" i="4" l="1"/>
  <c r="A221" i="4"/>
  <c r="D220" i="4"/>
  <c r="B220" i="4"/>
  <c r="F118" i="4"/>
  <c r="G118" i="4" s="1"/>
  <c r="I118" i="4" s="1"/>
  <c r="C119" i="4" s="1"/>
  <c r="H119" i="4" l="1"/>
  <c r="J119" i="4" s="1"/>
  <c r="E119" i="4"/>
  <c r="A222" i="4"/>
  <c r="B221" i="4"/>
  <c r="D221" i="4"/>
  <c r="F119" i="4" l="1"/>
  <c r="G119" i="4" s="1"/>
  <c r="I119" i="4" s="1"/>
  <c r="C120" i="4" s="1"/>
  <c r="A223" i="4"/>
  <c r="B222" i="4"/>
  <c r="D222" i="4"/>
  <c r="H120" i="4" l="1"/>
  <c r="J120" i="4" s="1"/>
  <c r="E120" i="4"/>
  <c r="A224" i="4"/>
  <c r="D223" i="4"/>
  <c r="B223" i="4"/>
  <c r="A225" i="4" l="1"/>
  <c r="D224" i="4"/>
  <c r="B224" i="4"/>
  <c r="F120" i="4"/>
  <c r="G120" i="4" s="1"/>
  <c r="I120" i="4" s="1"/>
  <c r="C121" i="4" s="1"/>
  <c r="H121" i="4" l="1"/>
  <c r="J121" i="4" s="1"/>
  <c r="E121" i="4"/>
  <c r="A226" i="4"/>
  <c r="B225" i="4"/>
  <c r="D225" i="4"/>
  <c r="F121" i="4" l="1"/>
  <c r="G121" i="4" s="1"/>
  <c r="I121" i="4" s="1"/>
  <c r="C122" i="4" s="1"/>
  <c r="A227" i="4"/>
  <c r="B226" i="4"/>
  <c r="D226" i="4"/>
  <c r="H122" i="4" l="1"/>
  <c r="J122" i="4" s="1"/>
  <c r="E122" i="4"/>
  <c r="A228" i="4"/>
  <c r="D227" i="4"/>
  <c r="B227" i="4"/>
  <c r="A229" i="4" l="1"/>
  <c r="D228" i="4"/>
  <c r="B228" i="4"/>
  <c r="F122" i="4"/>
  <c r="G122" i="4" s="1"/>
  <c r="I122" i="4" s="1"/>
  <c r="C123" i="4" s="1"/>
  <c r="H123" i="4" l="1"/>
  <c r="J123" i="4" s="1"/>
  <c r="E123" i="4"/>
  <c r="A230" i="4"/>
  <c r="B229" i="4"/>
  <c r="D229" i="4"/>
  <c r="F123" i="4" l="1"/>
  <c r="G123" i="4" s="1"/>
  <c r="I123" i="4" s="1"/>
  <c r="C124" i="4" s="1"/>
  <c r="A231" i="4"/>
  <c r="B230" i="4"/>
  <c r="D230" i="4"/>
  <c r="H124" i="4" l="1"/>
  <c r="J124" i="4" s="1"/>
  <c r="E124" i="4"/>
  <c r="A232" i="4"/>
  <c r="D231" i="4"/>
  <c r="B231" i="4"/>
  <c r="A233" i="4" l="1"/>
  <c r="D232" i="4"/>
  <c r="B232" i="4"/>
  <c r="F124" i="4"/>
  <c r="G124" i="4" s="1"/>
  <c r="I124" i="4" s="1"/>
  <c r="C125" i="4" s="1"/>
  <c r="H125" i="4" l="1"/>
  <c r="E125" i="4"/>
  <c r="A234" i="4"/>
  <c r="B233" i="4"/>
  <c r="D233" i="4"/>
  <c r="J125" i="4" l="1"/>
  <c r="R15" i="1"/>
  <c r="K5" i="6" s="1"/>
  <c r="K7" i="6" s="1"/>
  <c r="K9" i="6" s="1"/>
  <c r="F125" i="4"/>
  <c r="G125" i="4" s="1"/>
  <c r="I125" i="4" s="1"/>
  <c r="A235" i="4"/>
  <c r="B234" i="4"/>
  <c r="D234" i="4"/>
  <c r="K10" i="6" l="1"/>
  <c r="K13" i="6" s="1"/>
  <c r="C126" i="4"/>
  <c r="E126" i="4" s="1"/>
  <c r="R41" i="1"/>
  <c r="R51" i="1" s="1"/>
  <c r="A236" i="4"/>
  <c r="D235" i="4"/>
  <c r="B235" i="4"/>
  <c r="K16" i="6" l="1"/>
  <c r="K32" i="6" s="1"/>
  <c r="R46" i="1"/>
  <c r="H126" i="4"/>
  <c r="A237" i="4"/>
  <c r="D236" i="4"/>
  <c r="B236" i="4"/>
  <c r="F126" i="4"/>
  <c r="G126" i="4" s="1"/>
  <c r="I126" i="4" s="1"/>
  <c r="C127" i="4" s="1"/>
  <c r="J126" i="4" l="1"/>
  <c r="H127" i="4"/>
  <c r="J127" i="4" s="1"/>
  <c r="E127" i="4"/>
  <c r="A238" i="4"/>
  <c r="B237" i="4"/>
  <c r="D237" i="4"/>
  <c r="F127" i="4" l="1"/>
  <c r="G127" i="4" s="1"/>
  <c r="I127" i="4" s="1"/>
  <c r="C128" i="4" s="1"/>
  <c r="A239" i="4"/>
  <c r="B238" i="4"/>
  <c r="D238" i="4"/>
  <c r="H128" i="4" l="1"/>
  <c r="E128" i="4"/>
  <c r="A240" i="4"/>
  <c r="D239" i="4"/>
  <c r="B239" i="4"/>
  <c r="J128" i="4" l="1"/>
  <c r="A241" i="4"/>
  <c r="D240" i="4"/>
  <c r="B240" i="4"/>
  <c r="F128" i="4"/>
  <c r="G128" i="4" s="1"/>
  <c r="I128" i="4" s="1"/>
  <c r="C129" i="4" s="1"/>
  <c r="H129" i="4" l="1"/>
  <c r="E129" i="4"/>
  <c r="A242" i="4"/>
  <c r="B241" i="4"/>
  <c r="D241" i="4"/>
  <c r="J129" i="4" l="1"/>
  <c r="F129" i="4"/>
  <c r="G129" i="4" s="1"/>
  <c r="I129" i="4" s="1"/>
  <c r="C130" i="4" s="1"/>
  <c r="A243" i="4"/>
  <c r="B242" i="4"/>
  <c r="D242" i="4"/>
  <c r="H130" i="4" l="1"/>
  <c r="E130" i="4"/>
  <c r="A244" i="4"/>
  <c r="D243" i="4"/>
  <c r="B243" i="4"/>
  <c r="J130" i="4" l="1"/>
  <c r="A245" i="4"/>
  <c r="D244" i="4"/>
  <c r="B244" i="4"/>
  <c r="F130" i="4"/>
  <c r="G130" i="4" s="1"/>
  <c r="I130" i="4" s="1"/>
  <c r="C131" i="4" s="1"/>
  <c r="H131" i="4" l="1"/>
  <c r="J131" i="4" s="1"/>
  <c r="E131" i="4"/>
  <c r="A246" i="4"/>
  <c r="B245" i="4"/>
  <c r="D245" i="4"/>
  <c r="F131" i="4" l="1"/>
  <c r="G131" i="4" s="1"/>
  <c r="I131" i="4" s="1"/>
  <c r="C132" i="4" s="1"/>
  <c r="A247" i="4"/>
  <c r="B246" i="4"/>
  <c r="D246" i="4"/>
  <c r="H132" i="4" l="1"/>
  <c r="J132" i="4" s="1"/>
  <c r="E132" i="4"/>
  <c r="A248" i="4"/>
  <c r="D247" i="4"/>
  <c r="B247" i="4"/>
  <c r="A249" i="4" l="1"/>
  <c r="D248" i="4"/>
  <c r="B248" i="4"/>
  <c r="F132" i="4"/>
  <c r="G132" i="4" s="1"/>
  <c r="I132" i="4" s="1"/>
  <c r="C133" i="4" s="1"/>
  <c r="H133" i="4" l="1"/>
  <c r="J133" i="4" s="1"/>
  <c r="E133" i="4"/>
  <c r="A250" i="4"/>
  <c r="B249" i="4"/>
  <c r="D249" i="4"/>
  <c r="F133" i="4" l="1"/>
  <c r="G133" i="4" s="1"/>
  <c r="I133" i="4" s="1"/>
  <c r="C134" i="4" s="1"/>
  <c r="A251" i="4"/>
  <c r="B250" i="4"/>
  <c r="D250" i="4"/>
  <c r="H134" i="4" l="1"/>
  <c r="J134" i="4" s="1"/>
  <c r="E134" i="4"/>
  <c r="A252" i="4"/>
  <c r="D251" i="4"/>
  <c r="B251" i="4"/>
  <c r="A253" i="4" l="1"/>
  <c r="D252" i="4"/>
  <c r="B252" i="4"/>
  <c r="F134" i="4"/>
  <c r="G134" i="4" s="1"/>
  <c r="I134" i="4" s="1"/>
  <c r="C135" i="4" s="1"/>
  <c r="H135" i="4" l="1"/>
  <c r="J135" i="4" s="1"/>
  <c r="E135" i="4"/>
  <c r="A254" i="4"/>
  <c r="B253" i="4"/>
  <c r="D253" i="4"/>
  <c r="F135" i="4" l="1"/>
  <c r="G135" i="4" s="1"/>
  <c r="I135" i="4" s="1"/>
  <c r="C136" i="4" s="1"/>
  <c r="A255" i="4"/>
  <c r="B254" i="4"/>
  <c r="D254" i="4"/>
  <c r="H136" i="4" l="1"/>
  <c r="J136" i="4" s="1"/>
  <c r="E136" i="4"/>
  <c r="A256" i="4"/>
  <c r="D255" i="4"/>
  <c r="B255" i="4"/>
  <c r="A257" i="4" l="1"/>
  <c r="D256" i="4"/>
  <c r="B256" i="4"/>
  <c r="F136" i="4"/>
  <c r="G136" i="4" s="1"/>
  <c r="I136" i="4" s="1"/>
  <c r="C137" i="4" s="1"/>
  <c r="H137" i="4" l="1"/>
  <c r="E137" i="4"/>
  <c r="A258" i="4"/>
  <c r="B257" i="4"/>
  <c r="D257" i="4"/>
  <c r="J137" i="4" l="1"/>
  <c r="S15" i="1"/>
  <c r="L5" i="6" s="1"/>
  <c r="L7" i="6" s="1"/>
  <c r="L9" i="6" s="1"/>
  <c r="F137" i="4"/>
  <c r="G137" i="4" s="1"/>
  <c r="I137" i="4" s="1"/>
  <c r="A259" i="4"/>
  <c r="B258" i="4"/>
  <c r="D258" i="4"/>
  <c r="L10" i="6" l="1"/>
  <c r="L16" i="6" s="1"/>
  <c r="C138" i="4"/>
  <c r="E138" i="4" s="1"/>
  <c r="S41" i="1"/>
  <c r="S51" i="1" s="1"/>
  <c r="A260" i="4"/>
  <c r="B259" i="4"/>
  <c r="D259" i="4"/>
  <c r="L13" i="6" l="1"/>
  <c r="L32" i="6" s="1"/>
  <c r="S46" i="1"/>
  <c r="H138" i="4"/>
  <c r="A261" i="4"/>
  <c r="D260" i="4"/>
  <c r="B260" i="4"/>
  <c r="F138" i="4"/>
  <c r="G138" i="4" l="1"/>
  <c r="I138" i="4" s="1"/>
  <c r="C139" i="4" s="1"/>
  <c r="H139" i="4" s="1"/>
  <c r="J139" i="4" s="1"/>
  <c r="J138" i="4"/>
  <c r="A262" i="4"/>
  <c r="D261" i="4"/>
  <c r="B261" i="4"/>
  <c r="E139" i="4" l="1"/>
  <c r="F139" i="4" s="1"/>
  <c r="G139" i="4" s="1"/>
  <c r="I139" i="4" s="1"/>
  <c r="C140" i="4" s="1"/>
  <c r="A263" i="4"/>
  <c r="B262" i="4"/>
  <c r="D262" i="4"/>
  <c r="H140" i="4" l="1"/>
  <c r="E140" i="4"/>
  <c r="A264" i="4"/>
  <c r="B263" i="4"/>
  <c r="D263" i="4"/>
  <c r="J140" i="4" l="1"/>
  <c r="A265" i="4"/>
  <c r="D264" i="4"/>
  <c r="B264" i="4"/>
  <c r="F140" i="4"/>
  <c r="G140" i="4" s="1"/>
  <c r="I140" i="4" s="1"/>
  <c r="C141" i="4" s="1"/>
  <c r="H141" i="4" l="1"/>
  <c r="E141" i="4"/>
  <c r="A266" i="4"/>
  <c r="D265" i="4"/>
  <c r="B265" i="4"/>
  <c r="J141" i="4" l="1"/>
  <c r="F141" i="4"/>
  <c r="G141" i="4" s="1"/>
  <c r="I141" i="4" s="1"/>
  <c r="C142" i="4" s="1"/>
  <c r="A267" i="4"/>
  <c r="B266" i="4"/>
  <c r="D266" i="4"/>
  <c r="H142" i="4" l="1"/>
  <c r="E142" i="4"/>
  <c r="A268" i="4"/>
  <c r="B267" i="4"/>
  <c r="D267" i="4"/>
  <c r="J142" i="4" l="1"/>
  <c r="A269" i="4"/>
  <c r="D268" i="4"/>
  <c r="B268" i="4"/>
  <c r="F142" i="4"/>
  <c r="G142" i="4" s="1"/>
  <c r="I142" i="4" s="1"/>
  <c r="C143" i="4" s="1"/>
  <c r="H143" i="4" l="1"/>
  <c r="J143" i="4" s="1"/>
  <c r="E143" i="4"/>
  <c r="A270" i="4"/>
  <c r="D269" i="4"/>
  <c r="B269" i="4"/>
  <c r="F143" i="4" l="1"/>
  <c r="G143" i="4" s="1"/>
  <c r="I143" i="4" s="1"/>
  <c r="C144" i="4" s="1"/>
  <c r="A271" i="4"/>
  <c r="B270" i="4"/>
  <c r="D270" i="4"/>
  <c r="H144" i="4" l="1"/>
  <c r="J144" i="4" s="1"/>
  <c r="E144" i="4"/>
  <c r="A272" i="4"/>
  <c r="B271" i="4"/>
  <c r="D271" i="4"/>
  <c r="A273" i="4" l="1"/>
  <c r="D272" i="4"/>
  <c r="B272" i="4"/>
  <c r="F144" i="4"/>
  <c r="G144" i="4" s="1"/>
  <c r="I144" i="4" s="1"/>
  <c r="C145" i="4" s="1"/>
  <c r="H145" i="4" l="1"/>
  <c r="J145" i="4" s="1"/>
  <c r="E145" i="4"/>
  <c r="A274" i="4"/>
  <c r="D273" i="4"/>
  <c r="B273" i="4"/>
  <c r="F145" i="4" l="1"/>
  <c r="G145" i="4" s="1"/>
  <c r="I145" i="4" s="1"/>
  <c r="C146" i="4" s="1"/>
  <c r="A275" i="4"/>
  <c r="B274" i="4"/>
  <c r="D274" i="4"/>
  <c r="H146" i="4" l="1"/>
  <c r="J146" i="4" s="1"/>
  <c r="E146" i="4"/>
  <c r="A276" i="4"/>
  <c r="B275" i="4"/>
  <c r="D275" i="4"/>
  <c r="A277" i="4" l="1"/>
  <c r="D276" i="4"/>
  <c r="B276" i="4"/>
  <c r="F146" i="4"/>
  <c r="G146" i="4" s="1"/>
  <c r="I146" i="4" s="1"/>
  <c r="C147" i="4" s="1"/>
  <c r="H147" i="4" l="1"/>
  <c r="J147" i="4" s="1"/>
  <c r="E147" i="4"/>
  <c r="A278" i="4"/>
  <c r="D277" i="4"/>
  <c r="B277" i="4"/>
  <c r="F147" i="4" l="1"/>
  <c r="G147" i="4" s="1"/>
  <c r="I147" i="4" s="1"/>
  <c r="C148" i="4" s="1"/>
  <c r="A279" i="4"/>
  <c r="B278" i="4"/>
  <c r="D278" i="4"/>
  <c r="H148" i="4" l="1"/>
  <c r="J148" i="4" s="1"/>
  <c r="E148" i="4"/>
  <c r="A280" i="4"/>
  <c r="B279" i="4"/>
  <c r="D279" i="4"/>
  <c r="A281" i="4" l="1"/>
  <c r="D280" i="4"/>
  <c r="B280" i="4"/>
  <c r="F148" i="4"/>
  <c r="G148" i="4" s="1"/>
  <c r="I148" i="4" s="1"/>
  <c r="C149" i="4" s="1"/>
  <c r="H149" i="4" l="1"/>
  <c r="E149" i="4"/>
  <c r="A282" i="4"/>
  <c r="D281" i="4"/>
  <c r="B281" i="4"/>
  <c r="J149" i="4" l="1"/>
  <c r="T15" i="1"/>
  <c r="M5" i="6" s="1"/>
  <c r="M7" i="6" s="1"/>
  <c r="M9" i="6" s="1"/>
  <c r="F149" i="4"/>
  <c r="G149" i="4" s="1"/>
  <c r="I149" i="4" s="1"/>
  <c r="A283" i="4"/>
  <c r="B282" i="4"/>
  <c r="D282" i="4"/>
  <c r="M10" i="6" l="1"/>
  <c r="M13" i="6" s="1"/>
  <c r="C150" i="4"/>
  <c r="E150" i="4" s="1"/>
  <c r="T41" i="1"/>
  <c r="T51" i="1" s="1"/>
  <c r="A284" i="4"/>
  <c r="B283" i="4"/>
  <c r="D283" i="4"/>
  <c r="M16" i="6" l="1"/>
  <c r="M32" i="6" s="1"/>
  <c r="T46" i="1"/>
  <c r="H150" i="4"/>
  <c r="A285" i="4"/>
  <c r="D284" i="4"/>
  <c r="B284" i="4"/>
  <c r="F150" i="4"/>
  <c r="G150" i="4" s="1"/>
  <c r="I150" i="4" s="1"/>
  <c r="C151" i="4" s="1"/>
  <c r="J150" i="4" l="1"/>
  <c r="E151" i="4"/>
  <c r="H151" i="4"/>
  <c r="J151" i="4" s="1"/>
  <c r="A286" i="4"/>
  <c r="D285" i="4"/>
  <c r="B285" i="4"/>
  <c r="A287" i="4" l="1"/>
  <c r="B286" i="4"/>
  <c r="D286" i="4"/>
  <c r="F151" i="4"/>
  <c r="G151" i="4" s="1"/>
  <c r="I151" i="4" s="1"/>
  <c r="C152" i="4" s="1"/>
  <c r="H152" i="4" l="1"/>
  <c r="E152" i="4"/>
  <c r="A288" i="4"/>
  <c r="B287" i="4"/>
  <c r="D287" i="4"/>
  <c r="J152" i="4" l="1"/>
  <c r="A289" i="4"/>
  <c r="D288" i="4"/>
  <c r="B288" i="4"/>
  <c r="F152" i="4"/>
  <c r="G152" i="4" s="1"/>
  <c r="I152" i="4" s="1"/>
  <c r="C153" i="4" s="1"/>
  <c r="H153" i="4" l="1"/>
  <c r="E153" i="4"/>
  <c r="A290" i="4"/>
  <c r="D289" i="4"/>
  <c r="B289" i="4"/>
  <c r="J153" i="4" l="1"/>
  <c r="F153" i="4"/>
  <c r="G153" i="4" s="1"/>
  <c r="I153" i="4" s="1"/>
  <c r="C154" i="4" s="1"/>
  <c r="A291" i="4"/>
  <c r="B290" i="4"/>
  <c r="D290" i="4"/>
  <c r="H154" i="4" l="1"/>
  <c r="E154" i="4"/>
  <c r="A292" i="4"/>
  <c r="B291" i="4"/>
  <c r="D291" i="4"/>
  <c r="J154" i="4" l="1"/>
  <c r="A293" i="4"/>
  <c r="D292" i="4"/>
  <c r="B292" i="4"/>
  <c r="F154" i="4"/>
  <c r="G154" i="4" s="1"/>
  <c r="I154" i="4" s="1"/>
  <c r="C155" i="4" s="1"/>
  <c r="H155" i="4" l="1"/>
  <c r="E155" i="4"/>
  <c r="A294" i="4"/>
  <c r="D293" i="4"/>
  <c r="B293" i="4"/>
  <c r="J155" i="4" l="1"/>
  <c r="F155" i="4"/>
  <c r="G155" i="4" s="1"/>
  <c r="I155" i="4" s="1"/>
  <c r="C156" i="4" s="1"/>
  <c r="A295" i="4"/>
  <c r="B294" i="4"/>
  <c r="D294" i="4"/>
  <c r="H156" i="4" l="1"/>
  <c r="J156" i="4" s="1"/>
  <c r="E156" i="4"/>
  <c r="A296" i="4"/>
  <c r="B295" i="4"/>
  <c r="D295" i="4"/>
  <c r="B296" i="4" l="1"/>
  <c r="A297" i="4"/>
  <c r="D296" i="4"/>
  <c r="F156" i="4"/>
  <c r="G156" i="4" s="1"/>
  <c r="I156" i="4" s="1"/>
  <c r="C157" i="4" s="1"/>
  <c r="H157" i="4" l="1"/>
  <c r="J157" i="4" s="1"/>
  <c r="E157" i="4"/>
  <c r="B297" i="4"/>
  <c r="A298" i="4"/>
  <c r="D297" i="4"/>
  <c r="B298" i="4" l="1"/>
  <c r="A299" i="4"/>
  <c r="D298" i="4"/>
  <c r="F157" i="4"/>
  <c r="G157" i="4" s="1"/>
  <c r="I157" i="4" s="1"/>
  <c r="C158" i="4" s="1"/>
  <c r="H158" i="4" l="1"/>
  <c r="J158" i="4" s="1"/>
  <c r="E158" i="4"/>
  <c r="B299" i="4"/>
  <c r="A300" i="4"/>
  <c r="D299" i="4"/>
  <c r="B300" i="4" l="1"/>
  <c r="A301" i="4"/>
  <c r="D300" i="4"/>
  <c r="F158" i="4"/>
  <c r="G158" i="4" s="1"/>
  <c r="I158" i="4" s="1"/>
  <c r="C159" i="4" s="1"/>
  <c r="E159" i="4" l="1"/>
  <c r="H159" i="4"/>
  <c r="J159" i="4" s="1"/>
  <c r="B301" i="4"/>
  <c r="A302" i="4"/>
  <c r="D301" i="4"/>
  <c r="F159" i="4" l="1"/>
  <c r="G159" i="4" s="1"/>
  <c r="I159" i="4" s="1"/>
  <c r="C160" i="4" s="1"/>
  <c r="B302" i="4"/>
  <c r="A303" i="4"/>
  <c r="D302" i="4"/>
  <c r="H160" i="4" l="1"/>
  <c r="J160" i="4" s="1"/>
  <c r="E160" i="4"/>
  <c r="B303" i="4"/>
  <c r="A304" i="4"/>
  <c r="D303" i="4"/>
  <c r="F160" i="4" l="1"/>
  <c r="G160" i="4" s="1"/>
  <c r="I160" i="4" s="1"/>
  <c r="C161" i="4" s="1"/>
  <c r="B304" i="4"/>
  <c r="A305" i="4"/>
  <c r="D304" i="4"/>
  <c r="H161" i="4" l="1"/>
  <c r="E161" i="4"/>
  <c r="B305" i="4"/>
  <c r="A306" i="4"/>
  <c r="D305" i="4"/>
  <c r="J161" i="4" l="1"/>
  <c r="U15" i="1"/>
  <c r="N5" i="6" s="1"/>
  <c r="N7" i="6" s="1"/>
  <c r="N9" i="6" s="1"/>
  <c r="F161" i="4"/>
  <c r="G161" i="4" s="1"/>
  <c r="I161" i="4" s="1"/>
  <c r="B306" i="4"/>
  <c r="A307" i="4"/>
  <c r="D306" i="4"/>
  <c r="N10" i="6" l="1"/>
  <c r="N16" i="6" s="1"/>
  <c r="C162" i="4"/>
  <c r="E162" i="4" s="1"/>
  <c r="U41" i="1"/>
  <c r="U51" i="1" s="1"/>
  <c r="B307" i="4"/>
  <c r="A308" i="4"/>
  <c r="D307" i="4"/>
  <c r="N13" i="6" l="1"/>
  <c r="N32" i="6" s="1"/>
  <c r="U46" i="1"/>
  <c r="H162" i="4"/>
  <c r="F162" i="4"/>
  <c r="B308" i="4"/>
  <c r="A309" i="4"/>
  <c r="D308" i="4"/>
  <c r="J162" i="4" l="1"/>
  <c r="G162" i="4"/>
  <c r="I162" i="4" s="1"/>
  <c r="C163" i="4" s="1"/>
  <c r="E163" i="4" s="1"/>
  <c r="B309" i="4"/>
  <c r="A310" i="4"/>
  <c r="D309" i="4"/>
  <c r="H163" i="4" l="1"/>
  <c r="F163" i="4"/>
  <c r="B310" i="4"/>
  <c r="A311" i="4"/>
  <c r="D310" i="4"/>
  <c r="J163" i="4" l="1"/>
  <c r="G163" i="4"/>
  <c r="I163" i="4" s="1"/>
  <c r="C164" i="4" s="1"/>
  <c r="H164" i="4" s="1"/>
  <c r="J164" i="4" s="1"/>
  <c r="B311" i="4"/>
  <c r="A312" i="4"/>
  <c r="D311" i="4"/>
  <c r="E164" i="4" l="1"/>
  <c r="F164" i="4" s="1"/>
  <c r="G164" i="4" s="1"/>
  <c r="I164" i="4" s="1"/>
  <c r="C165" i="4" s="1"/>
  <c r="B312" i="4"/>
  <c r="A313" i="4"/>
  <c r="D312" i="4"/>
  <c r="H165" i="4" l="1"/>
  <c r="E165" i="4"/>
  <c r="B313" i="4"/>
  <c r="A314" i="4"/>
  <c r="D313" i="4"/>
  <c r="J165" i="4" l="1"/>
  <c r="B314" i="4"/>
  <c r="A315" i="4"/>
  <c r="D314" i="4"/>
  <c r="F165" i="4"/>
  <c r="G165" i="4" s="1"/>
  <c r="I165" i="4" s="1"/>
  <c r="C166" i="4" s="1"/>
  <c r="H166" i="4" l="1"/>
  <c r="E166" i="4"/>
  <c r="B315" i="4"/>
  <c r="A316" i="4"/>
  <c r="D315" i="4"/>
  <c r="J166" i="4" l="1"/>
  <c r="F166" i="4"/>
  <c r="G166" i="4" s="1"/>
  <c r="I166" i="4" s="1"/>
  <c r="C167" i="4" s="1"/>
  <c r="B316" i="4"/>
  <c r="A317" i="4"/>
  <c r="D316" i="4"/>
  <c r="H167" i="4" l="1"/>
  <c r="J167" i="4" s="1"/>
  <c r="E167" i="4"/>
  <c r="B317" i="4"/>
  <c r="A318" i="4"/>
  <c r="D317" i="4"/>
  <c r="F167" i="4" l="1"/>
  <c r="G167" i="4" s="1"/>
  <c r="I167" i="4" s="1"/>
  <c r="C168" i="4" s="1"/>
  <c r="B318" i="4"/>
  <c r="A319" i="4"/>
  <c r="D318" i="4"/>
  <c r="H168" i="4" l="1"/>
  <c r="J168" i="4" s="1"/>
  <c r="E168" i="4"/>
  <c r="B319" i="4"/>
  <c r="A320" i="4"/>
  <c r="D319" i="4"/>
  <c r="F168" i="4" l="1"/>
  <c r="G168" i="4" s="1"/>
  <c r="I168" i="4" s="1"/>
  <c r="C169" i="4" s="1"/>
  <c r="B320" i="4"/>
  <c r="A321" i="4"/>
  <c r="D320" i="4"/>
  <c r="H169" i="4" l="1"/>
  <c r="J169" i="4" s="1"/>
  <c r="E169" i="4"/>
  <c r="B321" i="4"/>
  <c r="A322" i="4"/>
  <c r="D321" i="4"/>
  <c r="F169" i="4" l="1"/>
  <c r="G169" i="4" s="1"/>
  <c r="I169" i="4" s="1"/>
  <c r="C170" i="4" s="1"/>
  <c r="B322" i="4"/>
  <c r="A323" i="4"/>
  <c r="D322" i="4"/>
  <c r="H170" i="4" l="1"/>
  <c r="J170" i="4" s="1"/>
  <c r="E170" i="4"/>
  <c r="B323" i="4"/>
  <c r="A324" i="4"/>
  <c r="D323" i="4"/>
  <c r="F170" i="4" l="1"/>
  <c r="G170" i="4" s="1"/>
  <c r="I170" i="4" s="1"/>
  <c r="C171" i="4" s="1"/>
  <c r="B324" i="4"/>
  <c r="A325" i="4"/>
  <c r="D324" i="4"/>
  <c r="E171" i="4" l="1"/>
  <c r="H171" i="4"/>
  <c r="J171" i="4" s="1"/>
  <c r="B325" i="4"/>
  <c r="A326" i="4"/>
  <c r="D325" i="4"/>
  <c r="B326" i="4" l="1"/>
  <c r="A327" i="4"/>
  <c r="D326" i="4"/>
  <c r="F171" i="4"/>
  <c r="G171" i="4" s="1"/>
  <c r="I171" i="4" s="1"/>
  <c r="C172" i="4" s="1"/>
  <c r="H172" i="4" l="1"/>
  <c r="J172" i="4" s="1"/>
  <c r="E172" i="4"/>
  <c r="A328" i="4"/>
  <c r="B327" i="4"/>
  <c r="D327" i="4"/>
  <c r="A329" i="4" l="1"/>
  <c r="D328" i="4"/>
  <c r="B328" i="4"/>
  <c r="F172" i="4"/>
  <c r="G172" i="4" s="1"/>
  <c r="I172" i="4" s="1"/>
  <c r="C173" i="4" s="1"/>
  <c r="H173" i="4" l="1"/>
  <c r="E173" i="4"/>
  <c r="A330" i="4"/>
  <c r="B329" i="4"/>
  <c r="D329" i="4"/>
  <c r="J173" i="4" l="1"/>
  <c r="V15" i="1"/>
  <c r="O5" i="6" s="1"/>
  <c r="O7" i="6" s="1"/>
  <c r="O9" i="6" s="1"/>
  <c r="A331" i="4"/>
  <c r="B330" i="4"/>
  <c r="D330" i="4"/>
  <c r="F173" i="4"/>
  <c r="G173" i="4" s="1"/>
  <c r="I173" i="4" s="1"/>
  <c r="O10" i="6" l="1"/>
  <c r="O16" i="6" s="1"/>
  <c r="C174" i="4"/>
  <c r="H174" i="4" s="1"/>
  <c r="V41" i="1"/>
  <c r="V51" i="1" s="1"/>
  <c r="A332" i="4"/>
  <c r="B331" i="4"/>
  <c r="D331" i="4"/>
  <c r="O13" i="6" l="1"/>
  <c r="O32" i="6" s="1"/>
  <c r="J174" i="4"/>
  <c r="V46" i="1"/>
  <c r="E174" i="4"/>
  <c r="F174" i="4" s="1"/>
  <c r="G174" i="4" s="1"/>
  <c r="I174" i="4" s="1"/>
  <c r="C175" i="4" s="1"/>
  <c r="A333" i="4"/>
  <c r="D332" i="4"/>
  <c r="B332" i="4"/>
  <c r="H175" i="4" l="1"/>
  <c r="E175" i="4"/>
  <c r="A334" i="4"/>
  <c r="B333" i="4"/>
  <c r="D333" i="4"/>
  <c r="J175" i="4" l="1"/>
  <c r="A335" i="4"/>
  <c r="B334" i="4"/>
  <c r="D334" i="4"/>
  <c r="F175" i="4"/>
  <c r="G175" i="4" s="1"/>
  <c r="I175" i="4" s="1"/>
  <c r="C176" i="4" s="1"/>
  <c r="H176" i="4" l="1"/>
  <c r="E176" i="4"/>
  <c r="A336" i="4"/>
  <c r="B335" i="4"/>
  <c r="D335" i="4"/>
  <c r="J176" i="4" l="1"/>
  <c r="A337" i="4"/>
  <c r="D336" i="4"/>
  <c r="B336" i="4"/>
  <c r="F176" i="4"/>
  <c r="G176" i="4" s="1"/>
  <c r="I176" i="4" s="1"/>
  <c r="C177" i="4" s="1"/>
  <c r="H177" i="4" l="1"/>
  <c r="E177" i="4"/>
  <c r="A338" i="4"/>
  <c r="B337" i="4"/>
  <c r="D337" i="4"/>
  <c r="J177" i="4" l="1"/>
  <c r="A339" i="4"/>
  <c r="B338" i="4"/>
  <c r="D338" i="4"/>
  <c r="F177" i="4"/>
  <c r="G177" i="4" s="1"/>
  <c r="I177" i="4" s="1"/>
  <c r="C178" i="4" s="1"/>
  <c r="H178" i="4" l="1"/>
  <c r="E178" i="4"/>
  <c r="A340" i="4"/>
  <c r="B339" i="4"/>
  <c r="D339" i="4"/>
  <c r="J178" i="4" l="1"/>
  <c r="A341" i="4"/>
  <c r="D340" i="4"/>
  <c r="B340" i="4"/>
  <c r="F178" i="4"/>
  <c r="G178" i="4" s="1"/>
  <c r="I178" i="4" s="1"/>
  <c r="C179" i="4" s="1"/>
  <c r="H179" i="4" l="1"/>
  <c r="J179" i="4" s="1"/>
  <c r="E179" i="4"/>
  <c r="A342" i="4"/>
  <c r="B341" i="4"/>
  <c r="D341" i="4"/>
  <c r="A343" i="4" l="1"/>
  <c r="B342" i="4"/>
  <c r="D342" i="4"/>
  <c r="F179" i="4"/>
  <c r="G179" i="4" s="1"/>
  <c r="I179" i="4" s="1"/>
  <c r="C180" i="4" s="1"/>
  <c r="H180" i="4" l="1"/>
  <c r="J180" i="4" s="1"/>
  <c r="E180" i="4"/>
  <c r="A344" i="4"/>
  <c r="B343" i="4"/>
  <c r="D343" i="4"/>
  <c r="A345" i="4" l="1"/>
  <c r="D344" i="4"/>
  <c r="B344" i="4"/>
  <c r="F180" i="4"/>
  <c r="G180" i="4" s="1"/>
  <c r="I180" i="4" s="1"/>
  <c r="C181" i="4" s="1"/>
  <c r="H181" i="4" l="1"/>
  <c r="J181" i="4" s="1"/>
  <c r="E181" i="4"/>
  <c r="A346" i="4"/>
  <c r="B345" i="4"/>
  <c r="D345" i="4"/>
  <c r="A347" i="4" l="1"/>
  <c r="B346" i="4"/>
  <c r="D346" i="4"/>
  <c r="F181" i="4"/>
  <c r="G181" i="4" s="1"/>
  <c r="I181" i="4" s="1"/>
  <c r="C182" i="4" s="1"/>
  <c r="H182" i="4" l="1"/>
  <c r="J182" i="4" s="1"/>
  <c r="E182" i="4"/>
  <c r="A348" i="4"/>
  <c r="B347" i="4"/>
  <c r="D347" i="4"/>
  <c r="A349" i="4" l="1"/>
  <c r="D348" i="4"/>
  <c r="B348" i="4"/>
  <c r="F182" i="4"/>
  <c r="G182" i="4" s="1"/>
  <c r="I182" i="4" s="1"/>
  <c r="C183" i="4" s="1"/>
  <c r="H183" i="4" l="1"/>
  <c r="J183" i="4" s="1"/>
  <c r="E183" i="4"/>
  <c r="A350" i="4"/>
  <c r="B349" i="4"/>
  <c r="D349" i="4"/>
  <c r="A351" i="4" l="1"/>
  <c r="B350" i="4"/>
  <c r="D350" i="4"/>
  <c r="F183" i="4"/>
  <c r="G183" i="4" s="1"/>
  <c r="I183" i="4" s="1"/>
  <c r="C184" i="4" s="1"/>
  <c r="H184" i="4" l="1"/>
  <c r="J184" i="4" s="1"/>
  <c r="E184" i="4"/>
  <c r="A352" i="4"/>
  <c r="B351" i="4"/>
  <c r="D351" i="4"/>
  <c r="A353" i="4" l="1"/>
  <c r="D352" i="4"/>
  <c r="B352" i="4"/>
  <c r="F184" i="4"/>
  <c r="G184" i="4" s="1"/>
  <c r="I184" i="4" s="1"/>
  <c r="C185" i="4" s="1"/>
  <c r="H185" i="4" l="1"/>
  <c r="E185" i="4"/>
  <c r="A354" i="4"/>
  <c r="B353" i="4"/>
  <c r="D353" i="4"/>
  <c r="J185" i="4" l="1"/>
  <c r="W15" i="1"/>
  <c r="P5" i="6" s="1"/>
  <c r="P7" i="6" s="1"/>
  <c r="P9" i="6" s="1"/>
  <c r="A355" i="4"/>
  <c r="B354" i="4"/>
  <c r="D354" i="4"/>
  <c r="F185" i="4"/>
  <c r="G185" i="4" s="1"/>
  <c r="I185" i="4" s="1"/>
  <c r="P10" i="6" l="1"/>
  <c r="P16" i="6" s="1"/>
  <c r="C186" i="4"/>
  <c r="E186" i="4" s="1"/>
  <c r="W41" i="1"/>
  <c r="W51" i="1" s="1"/>
  <c r="A356" i="4"/>
  <c r="B355" i="4"/>
  <c r="D355" i="4"/>
  <c r="P13" i="6" l="1"/>
  <c r="P32" i="6" s="1"/>
  <c r="W46" i="1"/>
  <c r="H186" i="4"/>
  <c r="A357" i="4"/>
  <c r="D356" i="4"/>
  <c r="B356" i="4"/>
  <c r="F186" i="4"/>
  <c r="G186" i="4" s="1"/>
  <c r="I186" i="4" s="1"/>
  <c r="C187" i="4" s="1"/>
  <c r="J186" i="4" l="1"/>
  <c r="H187" i="4"/>
  <c r="J187" i="4" s="1"/>
  <c r="E187" i="4"/>
  <c r="A358" i="4"/>
  <c r="B357" i="4"/>
  <c r="D357" i="4"/>
  <c r="A359" i="4" l="1"/>
  <c r="B358" i="4"/>
  <c r="D358" i="4"/>
  <c r="F187" i="4"/>
  <c r="G187" i="4" s="1"/>
  <c r="I187" i="4" s="1"/>
  <c r="C188" i="4" s="1"/>
  <c r="A360" i="4" l="1"/>
  <c r="B359" i="4"/>
  <c r="D359" i="4"/>
  <c r="H188" i="4"/>
  <c r="E188" i="4"/>
  <c r="J188" i="4" l="1"/>
  <c r="F188" i="4"/>
  <c r="G188" i="4" s="1"/>
  <c r="I188" i="4" s="1"/>
  <c r="C189" i="4" s="1"/>
  <c r="A361" i="4"/>
  <c r="D360" i="4"/>
  <c r="B360" i="4"/>
  <c r="H189" i="4" l="1"/>
  <c r="E189" i="4"/>
  <c r="A362" i="4"/>
  <c r="B361" i="4"/>
  <c r="D361" i="4"/>
  <c r="J189" i="4" l="1"/>
  <c r="A363" i="4"/>
  <c r="B362" i="4"/>
  <c r="D362" i="4"/>
  <c r="F189" i="4"/>
  <c r="G189" i="4" s="1"/>
  <c r="I189" i="4" s="1"/>
  <c r="C190" i="4" s="1"/>
  <c r="H190" i="4" l="1"/>
  <c r="E190" i="4"/>
  <c r="A364" i="4"/>
  <c r="B363" i="4"/>
  <c r="D363" i="4"/>
  <c r="J190" i="4" l="1"/>
  <c r="A365" i="4"/>
  <c r="D364" i="4"/>
  <c r="B364" i="4"/>
  <c r="F190" i="4"/>
  <c r="G190" i="4" s="1"/>
  <c r="I190" i="4" s="1"/>
  <c r="C191" i="4" s="1"/>
  <c r="H191" i="4" l="1"/>
  <c r="J191" i="4" s="1"/>
  <c r="E191" i="4"/>
  <c r="A366" i="4"/>
  <c r="B365" i="4"/>
  <c r="D365" i="4"/>
  <c r="F191" i="4" l="1"/>
  <c r="G191" i="4" s="1"/>
  <c r="I191" i="4" s="1"/>
  <c r="C192" i="4" s="1"/>
  <c r="A367" i="4"/>
  <c r="B366" i="4"/>
  <c r="D366" i="4"/>
  <c r="H192" i="4" l="1"/>
  <c r="J192" i="4" s="1"/>
  <c r="E192" i="4"/>
  <c r="A368" i="4"/>
  <c r="B367" i="4"/>
  <c r="D367" i="4"/>
  <c r="A369" i="4" l="1"/>
  <c r="D368" i="4"/>
  <c r="B368" i="4"/>
  <c r="F192" i="4"/>
  <c r="G192" i="4" s="1"/>
  <c r="I192" i="4" s="1"/>
  <c r="C193" i="4" s="1"/>
  <c r="H193" i="4" l="1"/>
  <c r="J193" i="4" s="1"/>
  <c r="E193" i="4"/>
  <c r="A370" i="4"/>
  <c r="B369" i="4"/>
  <c r="D369" i="4"/>
  <c r="F193" i="4" l="1"/>
  <c r="G193" i="4" s="1"/>
  <c r="I193" i="4" s="1"/>
  <c r="C194" i="4" s="1"/>
  <c r="A371" i="4"/>
  <c r="B370" i="4"/>
  <c r="D370" i="4"/>
  <c r="H194" i="4" l="1"/>
  <c r="J194" i="4" s="1"/>
  <c r="E194" i="4"/>
  <c r="A372" i="4"/>
  <c r="B371" i="4"/>
  <c r="D371" i="4"/>
  <c r="A373" i="4" l="1"/>
  <c r="D372" i="4"/>
  <c r="B372" i="4"/>
  <c r="F194" i="4"/>
  <c r="G194" i="4" s="1"/>
  <c r="I194" i="4" s="1"/>
  <c r="C195" i="4" s="1"/>
  <c r="H195" i="4" l="1"/>
  <c r="J195" i="4" s="1"/>
  <c r="E195" i="4"/>
  <c r="A374" i="4"/>
  <c r="B373" i="4"/>
  <c r="D373" i="4"/>
  <c r="F195" i="4" l="1"/>
  <c r="G195" i="4" s="1"/>
  <c r="I195" i="4" s="1"/>
  <c r="C196" i="4" s="1"/>
  <c r="A375" i="4"/>
  <c r="B374" i="4"/>
  <c r="D374" i="4"/>
  <c r="H196" i="4" l="1"/>
  <c r="J196" i="4" s="1"/>
  <c r="E196" i="4"/>
  <c r="A376" i="4"/>
  <c r="B375" i="4"/>
  <c r="D375" i="4"/>
  <c r="A377" i="4" l="1"/>
  <c r="D376" i="4"/>
  <c r="B376" i="4"/>
  <c r="F196" i="4"/>
  <c r="G196" i="4" s="1"/>
  <c r="I196" i="4" s="1"/>
  <c r="C197" i="4" s="1"/>
  <c r="H197" i="4" l="1"/>
  <c r="E197" i="4"/>
  <c r="A378" i="4"/>
  <c r="B377" i="4"/>
  <c r="D377" i="4"/>
  <c r="J197" i="4" l="1"/>
  <c r="X15" i="1"/>
  <c r="Q5" i="6" s="1"/>
  <c r="Q7" i="6" s="1"/>
  <c r="Q9" i="6" s="1"/>
  <c r="A379" i="4"/>
  <c r="B378" i="4"/>
  <c r="D378" i="4"/>
  <c r="F197" i="4"/>
  <c r="G197" i="4" s="1"/>
  <c r="I197" i="4" s="1"/>
  <c r="Q10" i="6" l="1"/>
  <c r="Q16" i="6" s="1"/>
  <c r="C198" i="4"/>
  <c r="H198" i="4" s="1"/>
  <c r="X41" i="1"/>
  <c r="X51" i="1" s="1"/>
  <c r="A380" i="4"/>
  <c r="B379" i="4"/>
  <c r="D379" i="4"/>
  <c r="Q13" i="6" l="1"/>
  <c r="Q32" i="6" s="1"/>
  <c r="J198" i="4"/>
  <c r="E198" i="4"/>
  <c r="F198" i="4" s="1"/>
  <c r="G198" i="4" s="1"/>
  <c r="I198" i="4" s="1"/>
  <c r="C199" i="4" s="1"/>
  <c r="X46" i="1"/>
  <c r="A381" i="4"/>
  <c r="B380" i="4"/>
  <c r="D380" i="4"/>
  <c r="E199" i="4" l="1"/>
  <c r="H199" i="4"/>
  <c r="A382" i="4"/>
  <c r="B381" i="4"/>
  <c r="D381" i="4"/>
  <c r="J199" i="4" l="1"/>
  <c r="B382" i="4"/>
  <c r="A383" i="4"/>
  <c r="D382" i="4"/>
  <c r="F199" i="4"/>
  <c r="G199" i="4" s="1"/>
  <c r="I199" i="4" s="1"/>
  <c r="C200" i="4" s="1"/>
  <c r="H200" i="4" l="1"/>
  <c r="E200" i="4"/>
  <c r="A384" i="4"/>
  <c r="B383" i="4"/>
  <c r="D383" i="4"/>
  <c r="J200" i="4" l="1"/>
  <c r="F200" i="4"/>
  <c r="G200" i="4" s="1"/>
  <c r="I200" i="4" s="1"/>
  <c r="C201" i="4" s="1"/>
  <c r="A385" i="4"/>
  <c r="B384" i="4"/>
  <c r="D384" i="4"/>
  <c r="H201" i="4" l="1"/>
  <c r="E201" i="4"/>
  <c r="A386" i="4"/>
  <c r="B385" i="4"/>
  <c r="D385" i="4"/>
  <c r="J201" i="4" l="1"/>
  <c r="F201" i="4"/>
  <c r="G201" i="4" s="1"/>
  <c r="I201" i="4" s="1"/>
  <c r="A387" i="4"/>
  <c r="B386" i="4"/>
  <c r="D386" i="4"/>
  <c r="C202" i="4" l="1"/>
  <c r="E202" i="4" s="1"/>
  <c r="Z41" i="1"/>
  <c r="Z51" i="1" s="1"/>
  <c r="A388" i="4"/>
  <c r="B387" i="4"/>
  <c r="D387" i="4"/>
  <c r="Z46" i="1" l="1"/>
  <c r="H202" i="4"/>
  <c r="A389" i="4"/>
  <c r="B388" i="4"/>
  <c r="D388" i="4"/>
  <c r="F202" i="4"/>
  <c r="G202" i="4" s="1"/>
  <c r="I202" i="4" s="1"/>
  <c r="C203" i="4" s="1"/>
  <c r="J202" i="4" l="1"/>
  <c r="H203" i="4"/>
  <c r="J203" i="4" s="1"/>
  <c r="E203" i="4"/>
  <c r="A390" i="4"/>
  <c r="B389" i="4"/>
  <c r="D389" i="4"/>
  <c r="B390" i="4" l="1"/>
  <c r="A391" i="4"/>
  <c r="D390" i="4"/>
  <c r="F203" i="4"/>
  <c r="G203" i="4" s="1"/>
  <c r="I203" i="4" s="1"/>
  <c r="C204" i="4" s="1"/>
  <c r="H204" i="4" l="1"/>
  <c r="J204" i="4" s="1"/>
  <c r="E204" i="4"/>
  <c r="A392" i="4"/>
  <c r="B391" i="4"/>
  <c r="D391" i="4"/>
  <c r="F204" i="4" l="1"/>
  <c r="G204" i="4" s="1"/>
  <c r="I204" i="4" s="1"/>
  <c r="C205" i="4" s="1"/>
  <c r="A393" i="4"/>
  <c r="B392" i="4"/>
  <c r="D392" i="4"/>
  <c r="H205" i="4" l="1"/>
  <c r="J205" i="4" s="1"/>
  <c r="E205" i="4"/>
  <c r="A394" i="4"/>
  <c r="B393" i="4"/>
  <c r="D393" i="4"/>
  <c r="A395" i="4" l="1"/>
  <c r="B394" i="4"/>
  <c r="D394" i="4"/>
  <c r="F205" i="4"/>
  <c r="G205" i="4" s="1"/>
  <c r="I205" i="4" s="1"/>
  <c r="C206" i="4" s="1"/>
  <c r="H206" i="4" l="1"/>
  <c r="J206" i="4" s="1"/>
  <c r="E206" i="4"/>
  <c r="A396" i="4"/>
  <c r="B395" i="4"/>
  <c r="D395" i="4"/>
  <c r="F206" i="4" l="1"/>
  <c r="G206" i="4" s="1"/>
  <c r="I206" i="4" s="1"/>
  <c r="C207" i="4" s="1"/>
  <c r="A397" i="4"/>
  <c r="B396" i="4"/>
  <c r="D396" i="4"/>
  <c r="E207" i="4" l="1"/>
  <c r="H207" i="4"/>
  <c r="J207" i="4" s="1"/>
  <c r="A398" i="4"/>
  <c r="B397" i="4"/>
  <c r="D397" i="4"/>
  <c r="B398" i="4" l="1"/>
  <c r="A399" i="4"/>
  <c r="D398" i="4"/>
  <c r="F207" i="4"/>
  <c r="G207" i="4" s="1"/>
  <c r="I207" i="4" s="1"/>
  <c r="C208" i="4" s="1"/>
  <c r="H208" i="4" l="1"/>
  <c r="J208" i="4" s="1"/>
  <c r="E208" i="4"/>
  <c r="A400" i="4"/>
  <c r="B399" i="4"/>
  <c r="D399" i="4"/>
  <c r="B400" i="4" l="1"/>
  <c r="A401" i="4"/>
  <c r="D400" i="4"/>
  <c r="F208" i="4"/>
  <c r="G208" i="4" s="1"/>
  <c r="I208" i="4" s="1"/>
  <c r="C209" i="4" s="1"/>
  <c r="H209" i="4" l="1"/>
  <c r="E209" i="4"/>
  <c r="A402" i="4"/>
  <c r="B401" i="4"/>
  <c r="D401" i="4"/>
  <c r="J209" i="4" l="1"/>
  <c r="Y15" i="1"/>
  <c r="R5" i="6" s="1"/>
  <c r="R7" i="6" s="1"/>
  <c r="R9" i="6" s="1"/>
  <c r="A403" i="4"/>
  <c r="B402" i="4"/>
  <c r="D402" i="4"/>
  <c r="F209" i="4"/>
  <c r="G209" i="4" s="1"/>
  <c r="I209" i="4" s="1"/>
  <c r="R10" i="6" l="1"/>
  <c r="R13" i="6" s="1"/>
  <c r="C210" i="4"/>
  <c r="E210" i="4" s="1"/>
  <c r="Y41" i="1"/>
  <c r="Y51" i="1" s="1"/>
  <c r="A404" i="4"/>
  <c r="B403" i="4"/>
  <c r="D403" i="4"/>
  <c r="R16" i="6" l="1"/>
  <c r="R32" i="6" s="1"/>
  <c r="H210" i="4"/>
  <c r="Y46" i="1"/>
  <c r="A405" i="4"/>
  <c r="B404" i="4"/>
  <c r="D404" i="4"/>
  <c r="F210" i="4"/>
  <c r="J210" i="4" l="1"/>
  <c r="G210" i="4"/>
  <c r="I210" i="4" s="1"/>
  <c r="C211" i="4" s="1"/>
  <c r="E211" i="4" s="1"/>
  <c r="A406" i="4"/>
  <c r="B405" i="4"/>
  <c r="D405" i="4"/>
  <c r="H211" i="4" l="1"/>
  <c r="B406" i="4"/>
  <c r="A407" i="4"/>
  <c r="D406" i="4"/>
  <c r="F211" i="4"/>
  <c r="G211" i="4" s="1"/>
  <c r="I211" i="4" s="1"/>
  <c r="C212" i="4" s="1"/>
  <c r="J211" i="4" l="1"/>
  <c r="H212" i="4"/>
  <c r="J212" i="4" s="1"/>
  <c r="E212" i="4"/>
  <c r="A408" i="4"/>
  <c r="B407" i="4"/>
  <c r="D407" i="4"/>
  <c r="A409" i="4" l="1"/>
  <c r="B408" i="4"/>
  <c r="D408" i="4"/>
  <c r="F212" i="4"/>
  <c r="G212" i="4" s="1"/>
  <c r="I212" i="4" s="1"/>
  <c r="C213" i="4" s="1"/>
  <c r="A410" i="4" l="1"/>
  <c r="D409" i="4"/>
  <c r="B409" i="4"/>
  <c r="H213" i="4"/>
  <c r="E213" i="4"/>
  <c r="J213" i="4" l="1"/>
  <c r="F213" i="4"/>
  <c r="G213" i="4" s="1"/>
  <c r="I213" i="4" s="1"/>
  <c r="C214" i="4" s="1"/>
  <c r="A411" i="4"/>
  <c r="B410" i="4"/>
  <c r="D410" i="4"/>
  <c r="H214" i="4" l="1"/>
  <c r="E214" i="4"/>
  <c r="A412" i="4"/>
  <c r="D411" i="4"/>
  <c r="B411" i="4"/>
  <c r="J214" i="4" l="1"/>
  <c r="A413" i="4"/>
  <c r="D412" i="4"/>
  <c r="B412" i="4"/>
  <c r="F214" i="4"/>
  <c r="G214" i="4" s="1"/>
  <c r="I214" i="4" s="1"/>
  <c r="C215" i="4" s="1"/>
  <c r="H215" i="4" l="1"/>
  <c r="J215" i="4" s="1"/>
  <c r="E215" i="4"/>
  <c r="A414" i="4"/>
  <c r="B413" i="4"/>
  <c r="D413" i="4"/>
  <c r="F215" i="4" l="1"/>
  <c r="G215" i="4" s="1"/>
  <c r="I215" i="4" s="1"/>
  <c r="C216" i="4" s="1"/>
  <c r="A415" i="4"/>
  <c r="B414" i="4"/>
  <c r="D414" i="4"/>
  <c r="A416" i="4" l="1"/>
  <c r="B415" i="4"/>
  <c r="D415" i="4"/>
  <c r="H216" i="4"/>
  <c r="J216" i="4" s="1"/>
  <c r="E216" i="4"/>
  <c r="F216" i="4" l="1"/>
  <c r="G216" i="4" s="1"/>
  <c r="I216" i="4" s="1"/>
  <c r="C217" i="4" s="1"/>
  <c r="A417" i="4"/>
  <c r="D416" i="4"/>
  <c r="B416" i="4"/>
  <c r="H217" i="4" l="1"/>
  <c r="J217" i="4" s="1"/>
  <c r="E217" i="4"/>
  <c r="A418" i="4"/>
  <c r="D417" i="4"/>
  <c r="B417" i="4"/>
  <c r="F217" i="4" l="1"/>
  <c r="G217" i="4" s="1"/>
  <c r="I217" i="4" s="1"/>
  <c r="C218" i="4" s="1"/>
  <c r="A419" i="4"/>
  <c r="B418" i="4"/>
  <c r="D418" i="4"/>
  <c r="A420" i="4" l="1"/>
  <c r="D419" i="4"/>
  <c r="B419" i="4"/>
  <c r="H218" i="4"/>
  <c r="J218" i="4" s="1"/>
  <c r="E218" i="4"/>
  <c r="F218" i="4" l="1"/>
  <c r="G218" i="4" s="1"/>
  <c r="I218" i="4" s="1"/>
  <c r="C219" i="4" s="1"/>
  <c r="A421" i="4"/>
  <c r="B420" i="4"/>
  <c r="D420" i="4"/>
  <c r="H219" i="4" l="1"/>
  <c r="J219" i="4" s="1"/>
  <c r="E219" i="4"/>
  <c r="A422" i="4"/>
  <c r="B421" i="4"/>
  <c r="D421" i="4"/>
  <c r="A423" i="4" l="1"/>
  <c r="D422" i="4"/>
  <c r="B422" i="4"/>
  <c r="F219" i="4"/>
  <c r="G219" i="4" s="1"/>
  <c r="I219" i="4" s="1"/>
  <c r="C220" i="4" s="1"/>
  <c r="H220" i="4" l="1"/>
  <c r="J220" i="4" s="1"/>
  <c r="E220" i="4"/>
  <c r="A424" i="4"/>
  <c r="D423" i="4"/>
  <c r="B423" i="4"/>
  <c r="A425" i="4" l="1"/>
  <c r="D424" i="4"/>
  <c r="B424" i="4"/>
  <c r="F220" i="4"/>
  <c r="G220" i="4" s="1"/>
  <c r="I220" i="4" s="1"/>
  <c r="C221" i="4" s="1"/>
  <c r="H221" i="4" l="1"/>
  <c r="E221" i="4"/>
  <c r="A426" i="4"/>
  <c r="D425" i="4"/>
  <c r="B425" i="4"/>
  <c r="J221" i="4" l="1"/>
  <c r="Z15" i="1"/>
  <c r="S5" i="6" s="1"/>
  <c r="S7" i="6" s="1"/>
  <c r="S9" i="6" s="1"/>
  <c r="F221" i="4"/>
  <c r="G221" i="4" s="1"/>
  <c r="I221" i="4" s="1"/>
  <c r="C222" i="4" s="1"/>
  <c r="A427" i="4"/>
  <c r="B426" i="4"/>
  <c r="D426" i="4"/>
  <c r="S10" i="6" l="1"/>
  <c r="S16" i="6" s="1"/>
  <c r="A428" i="4"/>
  <c r="B427" i="4"/>
  <c r="D427" i="4"/>
  <c r="H222" i="4"/>
  <c r="E222" i="4"/>
  <c r="S32" i="6" l="1"/>
  <c r="S13" i="6"/>
  <c r="J222" i="4"/>
  <c r="F222" i="4"/>
  <c r="G222" i="4" s="1"/>
  <c r="I222" i="4" s="1"/>
  <c r="C223" i="4" s="1"/>
  <c r="A429" i="4"/>
  <c r="B428" i="4"/>
  <c r="D428" i="4"/>
  <c r="H223" i="4" l="1"/>
  <c r="E223" i="4"/>
  <c r="A430" i="4"/>
  <c r="B429" i="4"/>
  <c r="D429" i="4"/>
  <c r="J223" i="4" l="1"/>
  <c r="A431" i="4"/>
  <c r="D430" i="4"/>
  <c r="B430" i="4"/>
  <c r="F223" i="4"/>
  <c r="G223" i="4" s="1"/>
  <c r="I223" i="4" s="1"/>
  <c r="C224" i="4" s="1"/>
  <c r="H224" i="4" l="1"/>
  <c r="E224" i="4"/>
  <c r="A432" i="4"/>
  <c r="D431" i="4"/>
  <c r="B431" i="4"/>
  <c r="J224" i="4" l="1"/>
  <c r="F224" i="4"/>
  <c r="G224" i="4" s="1"/>
  <c r="I224" i="4" s="1"/>
  <c r="C225" i="4" s="1"/>
  <c r="A433" i="4"/>
  <c r="B432" i="4"/>
  <c r="D432" i="4"/>
  <c r="A434" i="4" l="1"/>
  <c r="D433" i="4"/>
  <c r="B433" i="4"/>
  <c r="H225" i="4"/>
  <c r="E225" i="4"/>
  <c r="J225" i="4" l="1"/>
  <c r="F225" i="4"/>
  <c r="G225" i="4" s="1"/>
  <c r="I225" i="4" s="1"/>
  <c r="C226" i="4" s="1"/>
  <c r="A435" i="4"/>
  <c r="B434" i="4"/>
  <c r="D434" i="4"/>
  <c r="H226" i="4" l="1"/>
  <c r="E226" i="4"/>
  <c r="A436" i="4"/>
  <c r="B435" i="4"/>
  <c r="D435" i="4"/>
  <c r="J226" i="4" l="1"/>
  <c r="A437" i="4"/>
  <c r="D436" i="4"/>
  <c r="B436" i="4"/>
  <c r="F226" i="4"/>
  <c r="G226" i="4" s="1"/>
  <c r="I226" i="4" s="1"/>
  <c r="C227" i="4" s="1"/>
  <c r="H227" i="4" l="1"/>
  <c r="J227" i="4" s="1"/>
  <c r="E227" i="4"/>
  <c r="A438" i="4"/>
  <c r="D437" i="4"/>
  <c r="B437" i="4"/>
  <c r="A439" i="4" l="1"/>
  <c r="D438" i="4"/>
  <c r="B438" i="4"/>
  <c r="F227" i="4"/>
  <c r="G227" i="4" s="1"/>
  <c r="I227" i="4" s="1"/>
  <c r="C228" i="4" s="1"/>
  <c r="H228" i="4" l="1"/>
  <c r="J228" i="4" s="1"/>
  <c r="E228" i="4"/>
  <c r="A440" i="4"/>
  <c r="B439" i="4"/>
  <c r="D439" i="4"/>
  <c r="A441" i="4" l="1"/>
  <c r="D440" i="4"/>
  <c r="B440" i="4"/>
  <c r="F228" i="4"/>
  <c r="G228" i="4" s="1"/>
  <c r="I228" i="4" s="1"/>
  <c r="C229" i="4" s="1"/>
  <c r="H229" i="4" l="1"/>
  <c r="J229" i="4" s="1"/>
  <c r="E229" i="4"/>
  <c r="A442" i="4"/>
  <c r="D441" i="4"/>
  <c r="B441" i="4"/>
  <c r="F229" i="4" l="1"/>
  <c r="G229" i="4" s="1"/>
  <c r="I229" i="4" s="1"/>
  <c r="C230" i="4" s="1"/>
  <c r="A443" i="4"/>
  <c r="B442" i="4"/>
  <c r="D442" i="4"/>
  <c r="A444" i="4" l="1"/>
  <c r="D443" i="4"/>
  <c r="B443" i="4"/>
  <c r="H230" i="4"/>
  <c r="J230" i="4" s="1"/>
  <c r="E230" i="4"/>
  <c r="F230" i="4" l="1"/>
  <c r="G230" i="4" s="1"/>
  <c r="I230" i="4" s="1"/>
  <c r="C231" i="4" s="1"/>
  <c r="A445" i="4"/>
  <c r="B444" i="4"/>
  <c r="D444" i="4"/>
  <c r="H231" i="4" l="1"/>
  <c r="J231" i="4" s="1"/>
  <c r="E231" i="4"/>
  <c r="A446" i="4"/>
  <c r="B445" i="4"/>
  <c r="D445" i="4"/>
  <c r="A447" i="4" l="1"/>
  <c r="D446" i="4"/>
  <c r="B446" i="4"/>
  <c r="F231" i="4"/>
  <c r="G231" i="4" s="1"/>
  <c r="I231" i="4" s="1"/>
  <c r="C232" i="4" s="1"/>
  <c r="H232" i="4" l="1"/>
  <c r="J232" i="4" s="1"/>
  <c r="E232" i="4"/>
  <c r="A448" i="4"/>
  <c r="D447" i="4"/>
  <c r="B447" i="4"/>
  <c r="A449" i="4" l="1"/>
  <c r="D448" i="4"/>
  <c r="B448" i="4"/>
  <c r="F232" i="4"/>
  <c r="G232" i="4" s="1"/>
  <c r="I232" i="4" s="1"/>
  <c r="C233" i="4" s="1"/>
  <c r="H233" i="4" l="1"/>
  <c r="E233" i="4"/>
  <c r="A450" i="4"/>
  <c r="D449" i="4"/>
  <c r="B449" i="4"/>
  <c r="J233" i="4" l="1"/>
  <c r="AA15" i="1"/>
  <c r="T5" i="6" s="1"/>
  <c r="T7" i="6" s="1"/>
  <c r="T9" i="6" s="1"/>
  <c r="F233" i="4"/>
  <c r="G233" i="4" s="1"/>
  <c r="I233" i="4" s="1"/>
  <c r="A451" i="4"/>
  <c r="D450" i="4"/>
  <c r="B450" i="4"/>
  <c r="T10" i="6" l="1"/>
  <c r="T13" i="6"/>
  <c r="T29" i="6"/>
  <c r="T16" i="6"/>
  <c r="C234" i="4"/>
  <c r="E234" i="4" s="1"/>
  <c r="AA41" i="1"/>
  <c r="AA51" i="1" s="1"/>
  <c r="A452" i="4"/>
  <c r="D451" i="4"/>
  <c r="B451" i="4"/>
  <c r="T32" i="6" l="1"/>
  <c r="H234" i="4"/>
  <c r="J234" i="4" s="1"/>
  <c r="B4" i="5"/>
  <c r="AA46" i="1"/>
  <c r="A453" i="4"/>
  <c r="B452" i="4"/>
  <c r="D452" i="4"/>
  <c r="F234" i="4"/>
  <c r="G234" i="4" l="1"/>
  <c r="I234" i="4" s="1"/>
  <c r="C235" i="4" s="1"/>
  <c r="E235" i="4" s="1"/>
  <c r="B5" i="5"/>
  <c r="B12" i="5" s="1"/>
  <c r="A454" i="4"/>
  <c r="D453" i="4"/>
  <c r="B453" i="4"/>
  <c r="B16" i="5" l="1"/>
  <c r="B18" i="5" s="1"/>
  <c r="H235" i="4"/>
  <c r="J235" i="4" s="1"/>
  <c r="A455" i="4"/>
  <c r="D454" i="4"/>
  <c r="B454" i="4"/>
  <c r="F235" i="4"/>
  <c r="C5" i="5" l="1"/>
  <c r="B13" i="5" s="1"/>
  <c r="B15" i="5" s="1"/>
  <c r="B19" i="5" s="1"/>
  <c r="G235" i="4"/>
  <c r="I235" i="4" s="1"/>
  <c r="C236" i="4" s="1"/>
  <c r="E236" i="4" s="1"/>
  <c r="B27" i="5"/>
  <c r="B28" i="5" s="1"/>
  <c r="B21" i="5"/>
  <c r="A456" i="4"/>
  <c r="D455" i="4"/>
  <c r="B455" i="4"/>
  <c r="H236" i="4" l="1"/>
  <c r="J236" i="4" s="1"/>
  <c r="B36" i="6"/>
  <c r="B20" i="5"/>
  <c r="B22" i="5" s="1"/>
  <c r="B23" i="5" s="1"/>
  <c r="B24" i="5" s="1"/>
  <c r="A457" i="4"/>
  <c r="B456" i="4"/>
  <c r="D456" i="4"/>
  <c r="F236" i="4"/>
  <c r="G236" i="4" l="1"/>
  <c r="I236" i="4" s="1"/>
  <c r="C237" i="4" s="1"/>
  <c r="E237" i="4" s="1"/>
  <c r="A458" i="4"/>
  <c r="D457" i="4"/>
  <c r="B457" i="4"/>
  <c r="H237" i="4" l="1"/>
  <c r="J237" i="4" s="1"/>
  <c r="F237" i="4"/>
  <c r="A459" i="4"/>
  <c r="B458" i="4"/>
  <c r="D458" i="4"/>
  <c r="G237" i="4" l="1"/>
  <c r="I237" i="4" s="1"/>
  <c r="C238" i="4" s="1"/>
  <c r="E238" i="4" s="1"/>
  <c r="A460" i="4"/>
  <c r="B459" i="4"/>
  <c r="D459" i="4"/>
  <c r="H238" i="4" l="1"/>
  <c r="J238" i="4" s="1"/>
  <c r="A461" i="4"/>
  <c r="D460" i="4"/>
  <c r="B460" i="4"/>
  <c r="F238" i="4"/>
  <c r="G238" i="4" s="1"/>
  <c r="I238" i="4" s="1"/>
  <c r="C239" i="4" s="1"/>
  <c r="H239" i="4" l="1"/>
  <c r="J239" i="4" s="1"/>
  <c r="E239" i="4"/>
  <c r="A462" i="4"/>
  <c r="D461" i="4"/>
  <c r="B461" i="4"/>
  <c r="A463" i="4" l="1"/>
  <c r="B462" i="4"/>
  <c r="D462" i="4"/>
  <c r="F239" i="4"/>
  <c r="G239" i="4" s="1"/>
  <c r="I239" i="4" s="1"/>
  <c r="C240" i="4" s="1"/>
  <c r="H240" i="4" l="1"/>
  <c r="J240" i="4" s="1"/>
  <c r="E240" i="4"/>
  <c r="A464" i="4"/>
  <c r="B463" i="4"/>
  <c r="D463" i="4"/>
  <c r="F240" i="4" l="1"/>
  <c r="G240" i="4" s="1"/>
  <c r="I240" i="4" s="1"/>
  <c r="C241" i="4" s="1"/>
  <c r="A465" i="4"/>
  <c r="D464" i="4"/>
  <c r="B464" i="4"/>
  <c r="H241" i="4" l="1"/>
  <c r="J241" i="4" s="1"/>
  <c r="E241" i="4"/>
  <c r="A466" i="4"/>
  <c r="D465" i="4"/>
  <c r="B465" i="4"/>
  <c r="A467" i="4" l="1"/>
  <c r="D466" i="4"/>
  <c r="B466" i="4"/>
  <c r="F241" i="4"/>
  <c r="G241" i="4" s="1"/>
  <c r="I241" i="4" s="1"/>
  <c r="C242" i="4" s="1"/>
  <c r="H242" i="4" l="1"/>
  <c r="J242" i="4" s="1"/>
  <c r="E242" i="4"/>
  <c r="A468" i="4"/>
  <c r="D467" i="4"/>
  <c r="B467" i="4"/>
  <c r="A469" i="4" l="1"/>
  <c r="B468" i="4"/>
  <c r="D468" i="4"/>
  <c r="F242" i="4"/>
  <c r="G242" i="4" s="1"/>
  <c r="I242" i="4" s="1"/>
  <c r="C243" i="4" s="1"/>
  <c r="A470" i="4" l="1"/>
  <c r="D469" i="4"/>
  <c r="B469" i="4"/>
  <c r="H243" i="4"/>
  <c r="J243" i="4" s="1"/>
  <c r="E243" i="4"/>
  <c r="F243" i="4" l="1"/>
  <c r="G243" i="4" s="1"/>
  <c r="I243" i="4" s="1"/>
  <c r="C244" i="4" s="1"/>
  <c r="A471" i="4"/>
  <c r="D470" i="4"/>
  <c r="B470" i="4"/>
  <c r="H244" i="4" l="1"/>
  <c r="J244" i="4" s="1"/>
  <c r="E244" i="4"/>
  <c r="A472" i="4"/>
  <c r="D471" i="4"/>
  <c r="B471" i="4"/>
  <c r="A473" i="4" l="1"/>
  <c r="D472" i="4"/>
  <c r="B472" i="4"/>
  <c r="F244" i="4"/>
  <c r="G244" i="4" s="1"/>
  <c r="I244" i="4" s="1"/>
  <c r="C245" i="4" s="1"/>
  <c r="A474" i="4" l="1"/>
  <c r="B473" i="4"/>
  <c r="D473" i="4"/>
  <c r="H245" i="4"/>
  <c r="J245" i="4" s="1"/>
  <c r="E245" i="4"/>
  <c r="A475" i="4" l="1"/>
  <c r="B474" i="4"/>
  <c r="D474" i="4"/>
  <c r="F245" i="4"/>
  <c r="G245" i="4" s="1"/>
  <c r="I245" i="4" s="1"/>
  <c r="C246" i="4" s="1"/>
  <c r="H246" i="4" l="1"/>
  <c r="J246" i="4" s="1"/>
  <c r="E246" i="4"/>
  <c r="A476" i="4"/>
  <c r="D475" i="4"/>
  <c r="B475" i="4"/>
  <c r="F246" i="4" l="1"/>
  <c r="G246" i="4" s="1"/>
  <c r="I246" i="4" s="1"/>
  <c r="C247" i="4" s="1"/>
  <c r="A477" i="4"/>
  <c r="D476" i="4"/>
  <c r="B476" i="4"/>
  <c r="A478" i="4" l="1"/>
  <c r="B477" i="4"/>
  <c r="D477" i="4"/>
  <c r="H247" i="4"/>
  <c r="J247" i="4" s="1"/>
  <c r="E247" i="4"/>
  <c r="F247" i="4" l="1"/>
  <c r="G247" i="4" s="1"/>
  <c r="I247" i="4" s="1"/>
  <c r="C248" i="4" s="1"/>
  <c r="A479" i="4"/>
  <c r="B478" i="4"/>
  <c r="D478" i="4"/>
  <c r="H248" i="4" l="1"/>
  <c r="J248" i="4" s="1"/>
  <c r="E248" i="4"/>
  <c r="A480" i="4"/>
  <c r="D479" i="4"/>
  <c r="B479" i="4"/>
  <c r="A481" i="4" l="1"/>
  <c r="D480" i="4"/>
  <c r="B480" i="4"/>
  <c r="F248" i="4"/>
  <c r="G248" i="4" s="1"/>
  <c r="I248" i="4" s="1"/>
  <c r="C249" i="4" s="1"/>
  <c r="H249" i="4" l="1"/>
  <c r="J249" i="4" s="1"/>
  <c r="E249" i="4"/>
  <c r="A482" i="4"/>
  <c r="B481" i="4"/>
  <c r="D481" i="4"/>
  <c r="A483" i="4" l="1"/>
  <c r="B482" i="4"/>
  <c r="D482" i="4"/>
  <c r="F249" i="4"/>
  <c r="G249" i="4" s="1"/>
  <c r="I249" i="4" s="1"/>
  <c r="C250" i="4" s="1"/>
  <c r="H250" i="4" l="1"/>
  <c r="J250" i="4" s="1"/>
  <c r="E250" i="4"/>
  <c r="A484" i="4"/>
  <c r="D483" i="4"/>
  <c r="B483" i="4"/>
  <c r="A485" i="4" l="1"/>
  <c r="B484" i="4"/>
  <c r="D484" i="4"/>
  <c r="F250" i="4"/>
  <c r="G250" i="4" s="1"/>
  <c r="I250" i="4" s="1"/>
  <c r="C251" i="4" s="1"/>
  <c r="H251" i="4" l="1"/>
  <c r="J251" i="4" s="1"/>
  <c r="E251" i="4"/>
  <c r="B485" i="4"/>
  <c r="A486" i="4"/>
  <c r="D485" i="4"/>
  <c r="F251" i="4" l="1"/>
  <c r="G251" i="4" s="1"/>
  <c r="I251" i="4" s="1"/>
  <c r="C252" i="4" s="1"/>
  <c r="A487" i="4"/>
  <c r="D486" i="4"/>
  <c r="B486" i="4"/>
  <c r="H252" i="4" l="1"/>
  <c r="J252" i="4" s="1"/>
  <c r="E252" i="4"/>
  <c r="A488" i="4"/>
  <c r="B487" i="4"/>
  <c r="D487" i="4"/>
  <c r="A489" i="4" l="1"/>
  <c r="B488" i="4"/>
  <c r="D488" i="4"/>
  <c r="F252" i="4"/>
  <c r="G252" i="4" s="1"/>
  <c r="I252" i="4" s="1"/>
  <c r="C253" i="4" s="1"/>
  <c r="H253" i="4" l="1"/>
  <c r="J253" i="4" s="1"/>
  <c r="E253" i="4"/>
  <c r="A490" i="4"/>
  <c r="B489" i="4"/>
  <c r="D489" i="4"/>
  <c r="A491" i="4" l="1"/>
  <c r="D490" i="4"/>
  <c r="B490" i="4"/>
  <c r="F253" i="4"/>
  <c r="G253" i="4" s="1"/>
  <c r="I253" i="4" s="1"/>
  <c r="C254" i="4" s="1"/>
  <c r="A492" i="4" l="1"/>
  <c r="B491" i="4"/>
  <c r="D491" i="4"/>
  <c r="H254" i="4"/>
  <c r="J254" i="4" s="1"/>
  <c r="E254" i="4"/>
  <c r="F254" i="4" l="1"/>
  <c r="G254" i="4" s="1"/>
  <c r="I254" i="4" s="1"/>
  <c r="C255" i="4" s="1"/>
  <c r="A493" i="4"/>
  <c r="B492" i="4"/>
  <c r="D492" i="4"/>
  <c r="A494" i="4" l="1"/>
  <c r="B493" i="4"/>
  <c r="D493" i="4"/>
  <c r="H255" i="4"/>
  <c r="J255" i="4" s="1"/>
  <c r="E255" i="4"/>
  <c r="F255" i="4" l="1"/>
  <c r="G255" i="4" s="1"/>
  <c r="I255" i="4" s="1"/>
  <c r="C256" i="4" s="1"/>
  <c r="A495" i="4"/>
  <c r="D494" i="4"/>
  <c r="B494" i="4"/>
  <c r="H256" i="4" l="1"/>
  <c r="J256" i="4" s="1"/>
  <c r="E256" i="4"/>
  <c r="A496" i="4"/>
  <c r="B495" i="4"/>
  <c r="D495" i="4"/>
  <c r="B496" i="4" l="1"/>
  <c r="A497" i="4"/>
  <c r="D496" i="4"/>
  <c r="F256" i="4"/>
  <c r="G256" i="4" s="1"/>
  <c r="I256" i="4" s="1"/>
  <c r="C257" i="4" s="1"/>
  <c r="H257" i="4" l="1"/>
  <c r="J257" i="4" s="1"/>
  <c r="E257" i="4"/>
  <c r="B497" i="4"/>
  <c r="D497" i="4"/>
  <c r="F257" i="4" l="1"/>
  <c r="G257" i="4" s="1"/>
  <c r="I257" i="4" s="1"/>
  <c r="C258" i="4" s="1"/>
  <c r="H258" i="4" l="1"/>
  <c r="J258" i="4" s="1"/>
  <c r="E258" i="4"/>
  <c r="F258" i="4" l="1"/>
  <c r="G258" i="4" s="1"/>
  <c r="I258" i="4" s="1"/>
  <c r="C259" i="4" s="1"/>
  <c r="H259" i="4" l="1"/>
  <c r="J259" i="4" s="1"/>
  <c r="E259" i="4"/>
  <c r="F259" i="4" l="1"/>
  <c r="G259" i="4" s="1"/>
  <c r="I259" i="4" s="1"/>
  <c r="C260" i="4" s="1"/>
  <c r="H260" i="4" l="1"/>
  <c r="J260" i="4" s="1"/>
  <c r="E260" i="4"/>
  <c r="F260" i="4" l="1"/>
  <c r="G260" i="4" s="1"/>
  <c r="I260" i="4" s="1"/>
  <c r="C261" i="4" s="1"/>
  <c r="H261" i="4" l="1"/>
  <c r="J261" i="4" s="1"/>
  <c r="E261" i="4"/>
  <c r="F261" i="4" l="1"/>
  <c r="G261" i="4" s="1"/>
  <c r="I261" i="4" s="1"/>
  <c r="C262" i="4" s="1"/>
  <c r="H262" i="4" l="1"/>
  <c r="J262" i="4" s="1"/>
  <c r="E262" i="4"/>
  <c r="F262" i="4" l="1"/>
  <c r="G262" i="4" s="1"/>
  <c r="I262" i="4" s="1"/>
  <c r="C263" i="4" s="1"/>
  <c r="H263" i="4" l="1"/>
  <c r="J263" i="4" s="1"/>
  <c r="E263" i="4"/>
  <c r="F263" i="4" l="1"/>
  <c r="G263" i="4" s="1"/>
  <c r="I263" i="4" s="1"/>
  <c r="C264" i="4" s="1"/>
  <c r="H264" i="4" l="1"/>
  <c r="J264" i="4" s="1"/>
  <c r="E264" i="4"/>
  <c r="F264" i="4" l="1"/>
  <c r="G264" i="4" s="1"/>
  <c r="I264" i="4" s="1"/>
  <c r="C265" i="4" s="1"/>
  <c r="H265" i="4" l="1"/>
  <c r="J265" i="4" s="1"/>
  <c r="E265" i="4"/>
  <c r="F265" i="4" l="1"/>
  <c r="G265" i="4" s="1"/>
  <c r="I265" i="4" s="1"/>
  <c r="C266" i="4" s="1"/>
  <c r="H266" i="4" l="1"/>
  <c r="J266" i="4" s="1"/>
  <c r="E266" i="4"/>
  <c r="F266" i="4" l="1"/>
  <c r="G266" i="4" s="1"/>
  <c r="I266" i="4" s="1"/>
  <c r="C267" i="4" s="1"/>
  <c r="H267" i="4" l="1"/>
  <c r="J267" i="4" s="1"/>
  <c r="E267" i="4"/>
  <c r="F267" i="4" l="1"/>
  <c r="G267" i="4" s="1"/>
  <c r="I267" i="4" s="1"/>
  <c r="C268" i="4" s="1"/>
  <c r="H268" i="4" l="1"/>
  <c r="J268" i="4" s="1"/>
  <c r="E268" i="4"/>
  <c r="F268" i="4" l="1"/>
  <c r="G268" i="4" s="1"/>
  <c r="I268" i="4" s="1"/>
  <c r="C269" i="4" s="1"/>
  <c r="H269" i="4" l="1"/>
  <c r="J269" i="4" s="1"/>
  <c r="E269" i="4"/>
  <c r="F269" i="4" l="1"/>
  <c r="G269" i="4" s="1"/>
  <c r="I269" i="4" s="1"/>
  <c r="C270" i="4" s="1"/>
  <c r="H270" i="4" l="1"/>
  <c r="J270" i="4" s="1"/>
  <c r="E270" i="4"/>
  <c r="F270" i="4" l="1"/>
  <c r="G270" i="4" s="1"/>
  <c r="I270" i="4" s="1"/>
  <c r="C271" i="4" s="1"/>
  <c r="H271" i="4" l="1"/>
  <c r="J271" i="4" s="1"/>
  <c r="E271" i="4"/>
  <c r="F271" i="4" l="1"/>
  <c r="G271" i="4" s="1"/>
  <c r="I271" i="4" s="1"/>
  <c r="C272" i="4" s="1"/>
  <c r="H272" i="4" l="1"/>
  <c r="J272" i="4" s="1"/>
  <c r="E272" i="4"/>
  <c r="F272" i="4" l="1"/>
  <c r="G272" i="4" s="1"/>
  <c r="I272" i="4" s="1"/>
  <c r="C273" i="4" s="1"/>
  <c r="H273" i="4" l="1"/>
  <c r="J273" i="4" s="1"/>
  <c r="E273" i="4"/>
  <c r="F273" i="4" l="1"/>
  <c r="G273" i="4" s="1"/>
  <c r="I273" i="4" s="1"/>
  <c r="C274" i="4" s="1"/>
  <c r="H274" i="4" l="1"/>
  <c r="J274" i="4" s="1"/>
  <c r="E274" i="4"/>
  <c r="F274" i="4" l="1"/>
  <c r="G274" i="4" s="1"/>
  <c r="I274" i="4" s="1"/>
  <c r="C275" i="4" s="1"/>
  <c r="H275" i="4" l="1"/>
  <c r="J275" i="4" s="1"/>
  <c r="E275" i="4"/>
  <c r="F275" i="4" l="1"/>
  <c r="G275" i="4" s="1"/>
  <c r="I275" i="4" s="1"/>
  <c r="C276" i="4" s="1"/>
  <c r="H276" i="4" l="1"/>
  <c r="J276" i="4" s="1"/>
  <c r="E276" i="4"/>
  <c r="F276" i="4" l="1"/>
  <c r="G276" i="4" s="1"/>
  <c r="I276" i="4" s="1"/>
  <c r="C277" i="4" s="1"/>
  <c r="H277" i="4" l="1"/>
  <c r="J277" i="4" s="1"/>
  <c r="E277" i="4"/>
  <c r="F277" i="4" l="1"/>
  <c r="G277" i="4" s="1"/>
  <c r="I277" i="4" s="1"/>
  <c r="C278" i="4" s="1"/>
  <c r="H278" i="4" l="1"/>
  <c r="J278" i="4" s="1"/>
  <c r="E278" i="4"/>
  <c r="F278" i="4" l="1"/>
  <c r="G278" i="4" s="1"/>
  <c r="I278" i="4" s="1"/>
  <c r="C279" i="4" s="1"/>
  <c r="H279" i="4" l="1"/>
  <c r="J279" i="4" s="1"/>
  <c r="E279" i="4"/>
  <c r="F279" i="4" l="1"/>
  <c r="G279" i="4" s="1"/>
  <c r="I279" i="4" s="1"/>
  <c r="C280" i="4" s="1"/>
  <c r="H280" i="4" l="1"/>
  <c r="J280" i="4" s="1"/>
  <c r="E280" i="4"/>
  <c r="F280" i="4" l="1"/>
  <c r="G280" i="4" s="1"/>
  <c r="I280" i="4" s="1"/>
  <c r="C281" i="4" s="1"/>
  <c r="H281" i="4" l="1"/>
  <c r="J281" i="4" s="1"/>
  <c r="E281" i="4"/>
  <c r="F281" i="4" l="1"/>
  <c r="G281" i="4" s="1"/>
  <c r="I281" i="4" s="1"/>
  <c r="C282" i="4" s="1"/>
  <c r="H282" i="4" l="1"/>
  <c r="J282" i="4" s="1"/>
  <c r="E282" i="4"/>
  <c r="F282" i="4" l="1"/>
  <c r="G282" i="4" s="1"/>
  <c r="I282" i="4" s="1"/>
  <c r="C283" i="4" s="1"/>
  <c r="H283" i="4" l="1"/>
  <c r="J283" i="4" s="1"/>
  <c r="E283" i="4"/>
  <c r="F283" i="4" l="1"/>
  <c r="G283" i="4" s="1"/>
  <c r="I283" i="4" s="1"/>
  <c r="C284" i="4" s="1"/>
  <c r="H284" i="4" l="1"/>
  <c r="J284" i="4" s="1"/>
  <c r="E284" i="4"/>
  <c r="F284" i="4" l="1"/>
  <c r="G284" i="4" s="1"/>
  <c r="I284" i="4" s="1"/>
  <c r="C285" i="4" s="1"/>
  <c r="H285" i="4" l="1"/>
  <c r="J285" i="4" s="1"/>
  <c r="E285" i="4"/>
  <c r="F285" i="4" l="1"/>
  <c r="G285" i="4" s="1"/>
  <c r="I285" i="4" s="1"/>
  <c r="C286" i="4" s="1"/>
  <c r="H286" i="4" l="1"/>
  <c r="J286" i="4" s="1"/>
  <c r="E286" i="4"/>
  <c r="F286" i="4" l="1"/>
  <c r="G286" i="4" s="1"/>
  <c r="I286" i="4" s="1"/>
  <c r="C287" i="4" s="1"/>
  <c r="H287" i="4" l="1"/>
  <c r="J287" i="4" s="1"/>
  <c r="E287" i="4"/>
  <c r="F287" i="4" l="1"/>
  <c r="G287" i="4" s="1"/>
  <c r="I287" i="4" s="1"/>
  <c r="C288" i="4" s="1"/>
  <c r="H288" i="4" l="1"/>
  <c r="J288" i="4" s="1"/>
  <c r="E288" i="4"/>
  <c r="F288" i="4" l="1"/>
  <c r="G288" i="4" s="1"/>
  <c r="I288" i="4" s="1"/>
  <c r="C289" i="4" s="1"/>
  <c r="H289" i="4" l="1"/>
  <c r="J289" i="4" s="1"/>
  <c r="E289" i="4"/>
  <c r="F289" i="4" l="1"/>
  <c r="G289" i="4" s="1"/>
  <c r="I289" i="4" s="1"/>
  <c r="C290" i="4" s="1"/>
  <c r="H290" i="4" l="1"/>
  <c r="J290" i="4" s="1"/>
  <c r="E290" i="4"/>
  <c r="F290" i="4" l="1"/>
  <c r="G290" i="4" s="1"/>
  <c r="I290" i="4" s="1"/>
  <c r="C291" i="4" s="1"/>
  <c r="H291" i="4" l="1"/>
  <c r="J291" i="4" s="1"/>
  <c r="E291" i="4"/>
  <c r="F291" i="4" l="1"/>
  <c r="G291" i="4" s="1"/>
  <c r="I291" i="4" s="1"/>
  <c r="C292" i="4" s="1"/>
  <c r="H292" i="4" l="1"/>
  <c r="J292" i="4" s="1"/>
  <c r="E292" i="4"/>
  <c r="F292" i="4" l="1"/>
  <c r="G292" i="4" s="1"/>
  <c r="I292" i="4" s="1"/>
  <c r="C293" i="4" s="1"/>
  <c r="H293" i="4" l="1"/>
  <c r="J293" i="4" s="1"/>
  <c r="E293" i="4"/>
  <c r="F293" i="4" l="1"/>
  <c r="G293" i="4" s="1"/>
  <c r="I293" i="4" s="1"/>
  <c r="C294" i="4" s="1"/>
  <c r="H294" i="4" l="1"/>
  <c r="J294" i="4" s="1"/>
  <c r="E294" i="4"/>
  <c r="F294" i="4" l="1"/>
  <c r="G294" i="4" s="1"/>
  <c r="I294" i="4" s="1"/>
  <c r="C295" i="4" s="1"/>
  <c r="H295" i="4" l="1"/>
  <c r="J295" i="4" s="1"/>
  <c r="E295" i="4"/>
  <c r="F295" i="4" l="1"/>
  <c r="G295" i="4" s="1"/>
  <c r="I295" i="4" s="1"/>
  <c r="C296" i="4" s="1"/>
  <c r="H296" i="4" l="1"/>
  <c r="J296" i="4" s="1"/>
  <c r="E296" i="4"/>
  <c r="F296" i="4" l="1"/>
  <c r="G296" i="4" s="1"/>
  <c r="I296" i="4" s="1"/>
  <c r="C297" i="4" s="1"/>
  <c r="H297" i="4" l="1"/>
  <c r="J297" i="4" s="1"/>
  <c r="E297" i="4"/>
  <c r="F297" i="4" l="1"/>
  <c r="G297" i="4" s="1"/>
  <c r="I297" i="4" s="1"/>
  <c r="C298" i="4" s="1"/>
  <c r="H298" i="4" l="1"/>
  <c r="J298" i="4" s="1"/>
  <c r="E298" i="4"/>
  <c r="F298" i="4" l="1"/>
  <c r="G298" i="4" s="1"/>
  <c r="I298" i="4" s="1"/>
  <c r="C299" i="4" s="1"/>
  <c r="H299" i="4" l="1"/>
  <c r="J299" i="4" s="1"/>
  <c r="E299" i="4"/>
  <c r="F299" i="4" l="1"/>
  <c r="G299" i="4" s="1"/>
  <c r="I299" i="4" s="1"/>
  <c r="C300" i="4" s="1"/>
  <c r="H300" i="4" l="1"/>
  <c r="J300" i="4" s="1"/>
  <c r="E300" i="4"/>
  <c r="F300" i="4" l="1"/>
  <c r="G300" i="4" s="1"/>
  <c r="I300" i="4" s="1"/>
  <c r="C301" i="4" s="1"/>
  <c r="H301" i="4" l="1"/>
  <c r="J301" i="4" s="1"/>
  <c r="E301" i="4"/>
  <c r="F301" i="4" l="1"/>
  <c r="G301" i="4" s="1"/>
  <c r="I301" i="4" s="1"/>
  <c r="C302" i="4" s="1"/>
  <c r="H302" i="4" l="1"/>
  <c r="J302" i="4" s="1"/>
  <c r="E302" i="4"/>
  <c r="F302" i="4" l="1"/>
  <c r="G302" i="4" s="1"/>
  <c r="I302" i="4" s="1"/>
  <c r="C303" i="4" s="1"/>
  <c r="H303" i="4" l="1"/>
  <c r="J303" i="4" s="1"/>
  <c r="E303" i="4"/>
  <c r="F303" i="4" l="1"/>
  <c r="G303" i="4" s="1"/>
  <c r="I303" i="4" s="1"/>
  <c r="C304" i="4" s="1"/>
  <c r="H304" i="4" l="1"/>
  <c r="J304" i="4" s="1"/>
  <c r="E304" i="4"/>
  <c r="F304" i="4" l="1"/>
  <c r="G304" i="4" s="1"/>
  <c r="I304" i="4" s="1"/>
  <c r="C305" i="4" s="1"/>
  <c r="H305" i="4" l="1"/>
  <c r="J305" i="4" s="1"/>
  <c r="E305" i="4"/>
  <c r="F305" i="4" l="1"/>
  <c r="G305" i="4" s="1"/>
  <c r="I305" i="4" s="1"/>
  <c r="C306" i="4" s="1"/>
  <c r="H306" i="4" l="1"/>
  <c r="J306" i="4" s="1"/>
  <c r="E306" i="4"/>
  <c r="F306" i="4" l="1"/>
  <c r="G306" i="4" s="1"/>
  <c r="I306" i="4" s="1"/>
  <c r="C307" i="4" s="1"/>
  <c r="H307" i="4" l="1"/>
  <c r="J307" i="4" s="1"/>
  <c r="E307" i="4"/>
  <c r="F307" i="4" l="1"/>
  <c r="G307" i="4" s="1"/>
  <c r="I307" i="4" s="1"/>
  <c r="C308" i="4" s="1"/>
  <c r="H308" i="4" l="1"/>
  <c r="J308" i="4" s="1"/>
  <c r="E308" i="4"/>
  <c r="F308" i="4" l="1"/>
  <c r="G308" i="4" s="1"/>
  <c r="I308" i="4" s="1"/>
  <c r="C309" i="4" s="1"/>
  <c r="H309" i="4" l="1"/>
  <c r="J309" i="4" s="1"/>
  <c r="E309" i="4"/>
  <c r="F309" i="4" l="1"/>
  <c r="G309" i="4" s="1"/>
  <c r="I309" i="4" s="1"/>
  <c r="C310" i="4" s="1"/>
  <c r="H310" i="4" l="1"/>
  <c r="J310" i="4" s="1"/>
  <c r="E310" i="4"/>
  <c r="F310" i="4" l="1"/>
  <c r="G310" i="4" s="1"/>
  <c r="I310" i="4" s="1"/>
  <c r="C311" i="4" s="1"/>
  <c r="H311" i="4" l="1"/>
  <c r="J311" i="4" s="1"/>
  <c r="E311" i="4"/>
  <c r="F311" i="4" l="1"/>
  <c r="G311" i="4" s="1"/>
  <c r="I311" i="4" s="1"/>
  <c r="C312" i="4" s="1"/>
  <c r="H312" i="4" l="1"/>
  <c r="J312" i="4" s="1"/>
  <c r="E312" i="4"/>
  <c r="F312" i="4" l="1"/>
  <c r="G312" i="4" s="1"/>
  <c r="I312" i="4" s="1"/>
  <c r="C313" i="4" s="1"/>
  <c r="H313" i="4" l="1"/>
  <c r="J313" i="4" s="1"/>
  <c r="E313" i="4"/>
  <c r="F313" i="4" l="1"/>
  <c r="G313" i="4" s="1"/>
  <c r="I313" i="4" s="1"/>
  <c r="C314" i="4" s="1"/>
  <c r="H314" i="4" l="1"/>
  <c r="J314" i="4" s="1"/>
  <c r="E314" i="4"/>
  <c r="F314" i="4" l="1"/>
  <c r="G314" i="4" s="1"/>
  <c r="I314" i="4" s="1"/>
  <c r="C315" i="4" s="1"/>
  <c r="H315" i="4" l="1"/>
  <c r="J315" i="4" s="1"/>
  <c r="E315" i="4"/>
  <c r="F315" i="4" l="1"/>
  <c r="G315" i="4" s="1"/>
  <c r="I315" i="4" s="1"/>
  <c r="C316" i="4" s="1"/>
  <c r="H316" i="4" l="1"/>
  <c r="J316" i="4" s="1"/>
  <c r="E316" i="4"/>
  <c r="F316" i="4" l="1"/>
  <c r="G316" i="4" s="1"/>
  <c r="I316" i="4" s="1"/>
  <c r="C317" i="4" s="1"/>
  <c r="H317" i="4" l="1"/>
  <c r="J317" i="4" s="1"/>
  <c r="E317" i="4"/>
  <c r="F317" i="4" l="1"/>
  <c r="G317" i="4" s="1"/>
  <c r="I317" i="4" s="1"/>
  <c r="C318" i="4" s="1"/>
  <c r="H318" i="4" l="1"/>
  <c r="J318" i="4" s="1"/>
  <c r="E318" i="4"/>
  <c r="F318" i="4" l="1"/>
  <c r="G318" i="4" s="1"/>
  <c r="I318" i="4" s="1"/>
  <c r="C319" i="4" s="1"/>
  <c r="H319" i="4" l="1"/>
  <c r="J319" i="4" s="1"/>
  <c r="E319" i="4"/>
  <c r="F319" i="4" l="1"/>
  <c r="G319" i="4" s="1"/>
  <c r="I319" i="4" s="1"/>
  <c r="C320" i="4" s="1"/>
  <c r="H320" i="4" l="1"/>
  <c r="J320" i="4" s="1"/>
  <c r="E320" i="4"/>
  <c r="F320" i="4" l="1"/>
  <c r="G320" i="4" s="1"/>
  <c r="I320" i="4" s="1"/>
  <c r="C321" i="4" s="1"/>
  <c r="H321" i="4" l="1"/>
  <c r="J321" i="4" s="1"/>
  <c r="E321" i="4"/>
  <c r="F321" i="4" l="1"/>
  <c r="G321" i="4" s="1"/>
  <c r="I321" i="4" s="1"/>
  <c r="C322" i="4" s="1"/>
  <c r="H322" i="4" l="1"/>
  <c r="J322" i="4" s="1"/>
  <c r="E322" i="4"/>
  <c r="F322" i="4" l="1"/>
  <c r="G322" i="4" s="1"/>
  <c r="I322" i="4" s="1"/>
  <c r="C323" i="4" s="1"/>
  <c r="H323" i="4" l="1"/>
  <c r="J323" i="4" s="1"/>
  <c r="E323" i="4"/>
  <c r="F323" i="4" l="1"/>
  <c r="G323" i="4" s="1"/>
  <c r="I323" i="4" s="1"/>
  <c r="C324" i="4" s="1"/>
  <c r="H324" i="4" l="1"/>
  <c r="J324" i="4" s="1"/>
  <c r="E324" i="4"/>
  <c r="F324" i="4" l="1"/>
  <c r="G324" i="4" s="1"/>
  <c r="I324" i="4" s="1"/>
  <c r="C325" i="4" s="1"/>
  <c r="H325" i="4" l="1"/>
  <c r="J325" i="4" s="1"/>
  <c r="E325" i="4"/>
  <c r="F325" i="4" l="1"/>
  <c r="G325" i="4" s="1"/>
  <c r="I325" i="4" s="1"/>
  <c r="C326" i="4" s="1"/>
  <c r="H326" i="4" l="1"/>
  <c r="J326" i="4" s="1"/>
  <c r="E326" i="4"/>
  <c r="F326" i="4" l="1"/>
  <c r="G326" i="4" s="1"/>
  <c r="I326" i="4" s="1"/>
  <c r="C327" i="4" s="1"/>
  <c r="H327" i="4" l="1"/>
  <c r="J327" i="4" s="1"/>
  <c r="E327" i="4"/>
  <c r="F327" i="4" l="1"/>
  <c r="G327" i="4" s="1"/>
  <c r="I327" i="4" s="1"/>
  <c r="C328" i="4" s="1"/>
  <c r="H328" i="4" l="1"/>
  <c r="J328" i="4" s="1"/>
  <c r="E328" i="4"/>
  <c r="F328" i="4" l="1"/>
  <c r="G328" i="4" s="1"/>
  <c r="I328" i="4" s="1"/>
  <c r="C329" i="4" s="1"/>
  <c r="H329" i="4" l="1"/>
  <c r="J329" i="4" s="1"/>
  <c r="E329" i="4"/>
  <c r="F329" i="4" l="1"/>
  <c r="G329" i="4" s="1"/>
  <c r="I329" i="4" s="1"/>
  <c r="C330" i="4" s="1"/>
  <c r="E330" i="4" l="1"/>
  <c r="H330" i="4"/>
  <c r="J330" i="4" s="1"/>
  <c r="F330" i="4" l="1"/>
  <c r="G330" i="4" s="1"/>
  <c r="I330" i="4" s="1"/>
  <c r="C331" i="4" s="1"/>
  <c r="H331" i="4" l="1"/>
  <c r="J331" i="4" s="1"/>
  <c r="E331" i="4"/>
  <c r="F331" i="4" l="1"/>
  <c r="G331" i="4" s="1"/>
  <c r="I331" i="4" s="1"/>
  <c r="C332" i="4" s="1"/>
  <c r="H332" i="4" l="1"/>
  <c r="J332" i="4" s="1"/>
  <c r="E332" i="4"/>
  <c r="F332" i="4" l="1"/>
  <c r="G332" i="4" s="1"/>
  <c r="I332" i="4" s="1"/>
  <c r="C333" i="4" s="1"/>
  <c r="H333" i="4" l="1"/>
  <c r="J333" i="4" s="1"/>
  <c r="E333" i="4"/>
  <c r="F333" i="4" l="1"/>
  <c r="G333" i="4" s="1"/>
  <c r="I333" i="4" s="1"/>
  <c r="C334" i="4" s="1"/>
  <c r="H334" i="4" l="1"/>
  <c r="J334" i="4" s="1"/>
  <c r="E334" i="4"/>
  <c r="F334" i="4" l="1"/>
  <c r="G334" i="4" s="1"/>
  <c r="I334" i="4" s="1"/>
  <c r="C335" i="4" s="1"/>
  <c r="H335" i="4" l="1"/>
  <c r="J335" i="4" s="1"/>
  <c r="E335" i="4"/>
  <c r="F335" i="4" l="1"/>
  <c r="G335" i="4" s="1"/>
  <c r="I335" i="4" s="1"/>
  <c r="C336" i="4" s="1"/>
  <c r="H336" i="4" l="1"/>
  <c r="J336" i="4" s="1"/>
  <c r="E336" i="4"/>
  <c r="F336" i="4" l="1"/>
  <c r="G336" i="4" s="1"/>
  <c r="I336" i="4" s="1"/>
  <c r="C337" i="4" s="1"/>
  <c r="H337" i="4" l="1"/>
  <c r="J337" i="4" s="1"/>
  <c r="E337" i="4"/>
  <c r="F337" i="4" l="1"/>
  <c r="G337" i="4" s="1"/>
  <c r="I337" i="4" s="1"/>
  <c r="C338" i="4" s="1"/>
  <c r="E338" i="4" l="1"/>
  <c r="H338" i="4"/>
  <c r="J338" i="4" s="1"/>
  <c r="F338" i="4" l="1"/>
  <c r="G338" i="4" s="1"/>
  <c r="I338" i="4" s="1"/>
  <c r="C339" i="4" s="1"/>
  <c r="H339" i="4" l="1"/>
  <c r="J339" i="4" s="1"/>
  <c r="E339" i="4"/>
  <c r="F339" i="4" l="1"/>
  <c r="G339" i="4" s="1"/>
  <c r="I339" i="4" s="1"/>
  <c r="C340" i="4" s="1"/>
  <c r="H340" i="4" l="1"/>
  <c r="J340" i="4" s="1"/>
  <c r="E340" i="4"/>
  <c r="F340" i="4" l="1"/>
  <c r="G340" i="4" s="1"/>
  <c r="I340" i="4" s="1"/>
  <c r="C341" i="4" s="1"/>
  <c r="H341" i="4" l="1"/>
  <c r="J341" i="4" s="1"/>
  <c r="E341" i="4"/>
  <c r="F341" i="4" l="1"/>
  <c r="G341" i="4" s="1"/>
  <c r="I341" i="4" s="1"/>
  <c r="C342" i="4" s="1"/>
  <c r="E342" i="4" l="1"/>
  <c r="H342" i="4"/>
  <c r="J342" i="4" s="1"/>
  <c r="F342" i="4" l="1"/>
  <c r="G342" i="4" s="1"/>
  <c r="I342" i="4" s="1"/>
  <c r="C343" i="4" s="1"/>
  <c r="H343" i="4" l="1"/>
  <c r="J343" i="4" s="1"/>
  <c r="E343" i="4"/>
  <c r="F343" i="4" l="1"/>
  <c r="G343" i="4" s="1"/>
  <c r="I343" i="4" s="1"/>
  <c r="C344" i="4" s="1"/>
  <c r="H344" i="4" l="1"/>
  <c r="J344" i="4" s="1"/>
  <c r="E344" i="4"/>
  <c r="F344" i="4" l="1"/>
  <c r="G344" i="4" s="1"/>
  <c r="I344" i="4" s="1"/>
  <c r="C345" i="4" s="1"/>
  <c r="H345" i="4" l="1"/>
  <c r="J345" i="4" s="1"/>
  <c r="E345" i="4"/>
  <c r="F345" i="4" l="1"/>
  <c r="G345" i="4" s="1"/>
  <c r="I345" i="4" s="1"/>
  <c r="C346" i="4" s="1"/>
  <c r="H346" i="4" l="1"/>
  <c r="J346" i="4" s="1"/>
  <c r="E346" i="4"/>
  <c r="F346" i="4" l="1"/>
  <c r="G346" i="4" s="1"/>
  <c r="I346" i="4" s="1"/>
  <c r="C347" i="4" s="1"/>
  <c r="H347" i="4" l="1"/>
  <c r="J347" i="4" s="1"/>
  <c r="E347" i="4"/>
  <c r="F347" i="4" l="1"/>
  <c r="G347" i="4" s="1"/>
  <c r="I347" i="4" s="1"/>
  <c r="C348" i="4" s="1"/>
  <c r="H348" i="4" l="1"/>
  <c r="J348" i="4" s="1"/>
  <c r="E348" i="4"/>
  <c r="F348" i="4" l="1"/>
  <c r="G348" i="4" s="1"/>
  <c r="I348" i="4" s="1"/>
  <c r="C349" i="4" s="1"/>
  <c r="H349" i="4" l="1"/>
  <c r="J349" i="4" s="1"/>
  <c r="E349" i="4"/>
  <c r="F349" i="4" l="1"/>
  <c r="G349" i="4" s="1"/>
  <c r="I349" i="4" s="1"/>
  <c r="C350" i="4" s="1"/>
  <c r="H350" i="4" l="1"/>
  <c r="J350" i="4" s="1"/>
  <c r="E350" i="4"/>
  <c r="F350" i="4" l="1"/>
  <c r="G350" i="4" s="1"/>
  <c r="I350" i="4" s="1"/>
  <c r="C351" i="4" s="1"/>
  <c r="H351" i="4" l="1"/>
  <c r="J351" i="4" s="1"/>
  <c r="E351" i="4"/>
  <c r="F351" i="4" l="1"/>
  <c r="G351" i="4" s="1"/>
  <c r="I351" i="4" s="1"/>
  <c r="C352" i="4" s="1"/>
  <c r="H352" i="4" l="1"/>
  <c r="J352" i="4" s="1"/>
  <c r="E352" i="4"/>
  <c r="F352" i="4" l="1"/>
  <c r="G352" i="4" s="1"/>
  <c r="I352" i="4" s="1"/>
  <c r="C353" i="4" s="1"/>
  <c r="H353" i="4" l="1"/>
  <c r="J353" i="4" s="1"/>
  <c r="E353" i="4"/>
  <c r="F353" i="4" l="1"/>
  <c r="G353" i="4" s="1"/>
  <c r="I353" i="4" s="1"/>
  <c r="C354" i="4" s="1"/>
  <c r="E354" i="4" l="1"/>
  <c r="H354" i="4"/>
  <c r="J354" i="4" s="1"/>
  <c r="F354" i="4" l="1"/>
  <c r="G354" i="4" s="1"/>
  <c r="I354" i="4" s="1"/>
  <c r="C355" i="4" s="1"/>
  <c r="H355" i="4" l="1"/>
  <c r="J355" i="4" s="1"/>
  <c r="E355" i="4"/>
  <c r="F355" i="4" l="1"/>
  <c r="G355" i="4" s="1"/>
  <c r="I355" i="4" s="1"/>
  <c r="C356" i="4" s="1"/>
  <c r="H356" i="4" l="1"/>
  <c r="J356" i="4" s="1"/>
  <c r="E356" i="4"/>
  <c r="F356" i="4" l="1"/>
  <c r="G356" i="4" s="1"/>
  <c r="I356" i="4" s="1"/>
  <c r="C357" i="4" s="1"/>
  <c r="H357" i="4" l="1"/>
  <c r="J357" i="4" s="1"/>
  <c r="E357" i="4"/>
  <c r="F357" i="4" l="1"/>
  <c r="G357" i="4" s="1"/>
  <c r="I357" i="4" s="1"/>
  <c r="C358" i="4" s="1"/>
  <c r="E358" i="4" l="1"/>
  <c r="H358" i="4"/>
  <c r="J358" i="4" s="1"/>
  <c r="F358" i="4" l="1"/>
  <c r="G358" i="4" s="1"/>
  <c r="I358" i="4" s="1"/>
  <c r="C359" i="4" s="1"/>
  <c r="H359" i="4" l="1"/>
  <c r="J359" i="4" s="1"/>
  <c r="E359" i="4"/>
  <c r="F359" i="4" l="1"/>
  <c r="G359" i="4" s="1"/>
  <c r="I359" i="4" s="1"/>
  <c r="C360" i="4" s="1"/>
  <c r="H360" i="4" l="1"/>
  <c r="J360" i="4" s="1"/>
  <c r="E360" i="4"/>
  <c r="F360" i="4" l="1"/>
  <c r="G360" i="4" s="1"/>
  <c r="I360" i="4" s="1"/>
  <c r="C361" i="4" s="1"/>
  <c r="H361" i="4" l="1"/>
  <c r="J361" i="4" s="1"/>
  <c r="E361" i="4"/>
  <c r="F361" i="4" l="1"/>
  <c r="G361" i="4" s="1"/>
  <c r="I361" i="4" s="1"/>
  <c r="C362" i="4" s="1"/>
  <c r="H362" i="4" l="1"/>
  <c r="J362" i="4" s="1"/>
  <c r="E362" i="4"/>
  <c r="F362" i="4" l="1"/>
  <c r="G362" i="4" s="1"/>
  <c r="I362" i="4" s="1"/>
  <c r="C363" i="4" s="1"/>
  <c r="H363" i="4" l="1"/>
  <c r="J363" i="4" s="1"/>
  <c r="E363" i="4"/>
  <c r="F363" i="4" l="1"/>
  <c r="G363" i="4" s="1"/>
  <c r="I363" i="4" s="1"/>
  <c r="C364" i="4" s="1"/>
  <c r="H364" i="4" l="1"/>
  <c r="J364" i="4" s="1"/>
  <c r="E364" i="4"/>
  <c r="F364" i="4" l="1"/>
  <c r="G364" i="4" s="1"/>
  <c r="I364" i="4" s="1"/>
  <c r="C365" i="4" s="1"/>
  <c r="H365" i="4" l="1"/>
  <c r="J365" i="4" s="1"/>
  <c r="E365" i="4"/>
  <c r="F365" i="4" l="1"/>
  <c r="G365" i="4" s="1"/>
  <c r="I365" i="4" s="1"/>
  <c r="C366" i="4" s="1"/>
  <c r="H366" i="4" l="1"/>
  <c r="J366" i="4" s="1"/>
  <c r="E366" i="4"/>
  <c r="F366" i="4" l="1"/>
  <c r="G366" i="4" s="1"/>
  <c r="I366" i="4" s="1"/>
  <c r="C367" i="4" s="1"/>
  <c r="H367" i="4" l="1"/>
  <c r="J367" i="4" s="1"/>
  <c r="E367" i="4"/>
  <c r="F367" i="4" l="1"/>
  <c r="G367" i="4" s="1"/>
  <c r="I367" i="4" s="1"/>
  <c r="C368" i="4" s="1"/>
  <c r="H368" i="4" l="1"/>
  <c r="J368" i="4" s="1"/>
  <c r="E368" i="4"/>
  <c r="F368" i="4" l="1"/>
  <c r="G368" i="4" s="1"/>
  <c r="I368" i="4" s="1"/>
  <c r="C369" i="4" s="1"/>
  <c r="H369" i="4" l="1"/>
  <c r="J369" i="4" s="1"/>
  <c r="E369" i="4"/>
  <c r="F369" i="4" l="1"/>
  <c r="G369" i="4" s="1"/>
  <c r="I369" i="4" s="1"/>
  <c r="C370" i="4" s="1"/>
  <c r="H370" i="4" l="1"/>
  <c r="J370" i="4" s="1"/>
  <c r="E370" i="4"/>
  <c r="F370" i="4" l="1"/>
  <c r="G370" i="4" s="1"/>
  <c r="I370" i="4" s="1"/>
  <c r="C371" i="4" s="1"/>
  <c r="H371" i="4" l="1"/>
  <c r="J371" i="4" s="1"/>
  <c r="E371" i="4"/>
  <c r="F371" i="4" l="1"/>
  <c r="G371" i="4" s="1"/>
  <c r="I371" i="4" s="1"/>
  <c r="C372" i="4" s="1"/>
  <c r="H372" i="4" l="1"/>
  <c r="J372" i="4" s="1"/>
  <c r="E372" i="4"/>
  <c r="F372" i="4" l="1"/>
  <c r="G372" i="4" s="1"/>
  <c r="I372" i="4" s="1"/>
  <c r="C373" i="4" s="1"/>
  <c r="H373" i="4" l="1"/>
  <c r="J373" i="4" s="1"/>
  <c r="E373" i="4"/>
  <c r="F373" i="4" l="1"/>
  <c r="G373" i="4" s="1"/>
  <c r="I373" i="4" s="1"/>
  <c r="C374" i="4" s="1"/>
  <c r="H374" i="4" l="1"/>
  <c r="J374" i="4" s="1"/>
  <c r="E374" i="4"/>
  <c r="F374" i="4" l="1"/>
  <c r="G374" i="4" s="1"/>
  <c r="I374" i="4" s="1"/>
  <c r="C375" i="4" s="1"/>
  <c r="H375" i="4" l="1"/>
  <c r="J375" i="4" s="1"/>
  <c r="E375" i="4"/>
  <c r="F375" i="4" l="1"/>
  <c r="G375" i="4" s="1"/>
  <c r="I375" i="4" s="1"/>
  <c r="C376" i="4" s="1"/>
  <c r="H376" i="4" l="1"/>
  <c r="J376" i="4" s="1"/>
  <c r="E376" i="4"/>
  <c r="F376" i="4" l="1"/>
  <c r="G376" i="4" s="1"/>
  <c r="I376" i="4" s="1"/>
  <c r="C377" i="4" s="1"/>
  <c r="H377" i="4" l="1"/>
  <c r="J377" i="4" s="1"/>
  <c r="E377" i="4"/>
  <c r="I377" i="4" l="1"/>
  <c r="C378" i="4" s="1"/>
  <c r="F377" i="4"/>
  <c r="G377" i="4" s="1"/>
  <c r="H378" i="4" l="1"/>
  <c r="J378" i="4" s="1"/>
  <c r="E378" i="4"/>
  <c r="F378" i="4" l="1"/>
  <c r="G378" i="4" s="1"/>
  <c r="I378" i="4"/>
  <c r="C379" i="4" s="1"/>
  <c r="H379" i="4" l="1"/>
  <c r="J379" i="4" s="1"/>
  <c r="E379" i="4"/>
  <c r="F379" i="4" l="1"/>
  <c r="G379" i="4" s="1"/>
  <c r="I379" i="4"/>
  <c r="C380" i="4" s="1"/>
  <c r="E380" i="4" l="1"/>
  <c r="H380" i="4"/>
  <c r="J380" i="4" s="1"/>
  <c r="I380" i="4" l="1"/>
  <c r="C381" i="4" s="1"/>
  <c r="F380" i="4"/>
  <c r="G380" i="4" s="1"/>
  <c r="H381" i="4" l="1"/>
  <c r="J381" i="4" s="1"/>
  <c r="E381" i="4"/>
  <c r="F381" i="4" l="1"/>
  <c r="G381" i="4" s="1"/>
  <c r="I381" i="4"/>
  <c r="C382" i="4" s="1"/>
  <c r="H382" i="4" l="1"/>
  <c r="J382" i="4" s="1"/>
  <c r="E382" i="4"/>
  <c r="F382" i="4" l="1"/>
  <c r="G382" i="4" s="1"/>
  <c r="I382" i="4"/>
  <c r="C383" i="4" s="1"/>
  <c r="H383" i="4" l="1"/>
  <c r="J383" i="4" s="1"/>
  <c r="E383" i="4"/>
  <c r="F383" i="4" l="1"/>
  <c r="G383" i="4" s="1"/>
  <c r="I383" i="4"/>
  <c r="C384" i="4" s="1"/>
  <c r="H384" i="4" l="1"/>
  <c r="J384" i="4" s="1"/>
  <c r="E384" i="4"/>
  <c r="I384" i="4" l="1"/>
  <c r="C385" i="4" s="1"/>
  <c r="F384" i="4"/>
  <c r="G384" i="4" s="1"/>
  <c r="H385" i="4" l="1"/>
  <c r="J385" i="4" s="1"/>
  <c r="E385" i="4"/>
  <c r="F385" i="4" l="1"/>
  <c r="G385" i="4" s="1"/>
  <c r="I385" i="4"/>
  <c r="C386" i="4" s="1"/>
  <c r="H386" i="4" l="1"/>
  <c r="J386" i="4" s="1"/>
  <c r="E386" i="4"/>
  <c r="F386" i="4" l="1"/>
  <c r="G386" i="4" s="1"/>
  <c r="I386" i="4"/>
  <c r="C387" i="4" s="1"/>
  <c r="H387" i="4" l="1"/>
  <c r="J387" i="4" s="1"/>
  <c r="E387" i="4"/>
  <c r="F387" i="4" l="1"/>
  <c r="G387" i="4" s="1"/>
  <c r="I387" i="4"/>
  <c r="C388" i="4" s="1"/>
  <c r="H388" i="4" l="1"/>
  <c r="J388" i="4" s="1"/>
  <c r="E388" i="4"/>
  <c r="I388" i="4" l="1"/>
  <c r="C389" i="4" s="1"/>
  <c r="F388" i="4"/>
  <c r="G388" i="4" s="1"/>
  <c r="H389" i="4" l="1"/>
  <c r="J389" i="4" s="1"/>
  <c r="E389" i="4"/>
  <c r="F389" i="4" l="1"/>
  <c r="G389" i="4" s="1"/>
  <c r="I389" i="4"/>
  <c r="C390" i="4" s="1"/>
  <c r="H390" i="4" l="1"/>
  <c r="J390" i="4" s="1"/>
  <c r="E390" i="4"/>
  <c r="F390" i="4" l="1"/>
  <c r="G390" i="4" s="1"/>
  <c r="I390" i="4"/>
  <c r="C391" i="4" s="1"/>
  <c r="H391" i="4" l="1"/>
  <c r="J391" i="4" s="1"/>
  <c r="E391" i="4"/>
  <c r="F391" i="4" l="1"/>
  <c r="G391" i="4" s="1"/>
  <c r="I391" i="4"/>
  <c r="C392" i="4" s="1"/>
  <c r="H392" i="4" l="1"/>
  <c r="J392" i="4" s="1"/>
  <c r="E392" i="4"/>
  <c r="I392" i="4" l="1"/>
  <c r="C393" i="4" s="1"/>
  <c r="F392" i="4"/>
  <c r="G392" i="4" s="1"/>
  <c r="H393" i="4" l="1"/>
  <c r="J393" i="4" s="1"/>
  <c r="E393" i="4"/>
  <c r="F393" i="4" l="1"/>
  <c r="G393" i="4" s="1"/>
  <c r="I393" i="4"/>
  <c r="C394" i="4" s="1"/>
  <c r="H394" i="4" l="1"/>
  <c r="J394" i="4" s="1"/>
  <c r="E394" i="4"/>
  <c r="F394" i="4" l="1"/>
  <c r="G394" i="4" s="1"/>
  <c r="I394" i="4"/>
  <c r="C395" i="4" s="1"/>
  <c r="H395" i="4" l="1"/>
  <c r="J395" i="4" s="1"/>
  <c r="E395" i="4"/>
  <c r="F395" i="4" l="1"/>
  <c r="G395" i="4" s="1"/>
  <c r="I395" i="4"/>
  <c r="C396" i="4" s="1"/>
  <c r="H396" i="4" l="1"/>
  <c r="J396" i="4" s="1"/>
  <c r="E396" i="4"/>
  <c r="I396" i="4" l="1"/>
  <c r="C397" i="4" s="1"/>
  <c r="F396" i="4"/>
  <c r="G396" i="4" s="1"/>
  <c r="H397" i="4" l="1"/>
  <c r="J397" i="4" s="1"/>
  <c r="E397" i="4"/>
  <c r="F397" i="4" l="1"/>
  <c r="G397" i="4" s="1"/>
  <c r="I397" i="4"/>
  <c r="C398" i="4" s="1"/>
  <c r="H398" i="4" l="1"/>
  <c r="J398" i="4" s="1"/>
  <c r="E398" i="4"/>
  <c r="F398" i="4" l="1"/>
  <c r="G398" i="4" s="1"/>
  <c r="I398" i="4"/>
  <c r="C399" i="4" s="1"/>
  <c r="H399" i="4" l="1"/>
  <c r="J399" i="4" s="1"/>
  <c r="E399" i="4"/>
  <c r="F399" i="4" l="1"/>
  <c r="G399" i="4" s="1"/>
  <c r="I399" i="4"/>
  <c r="C400" i="4" s="1"/>
  <c r="H400" i="4" l="1"/>
  <c r="J400" i="4" s="1"/>
  <c r="E400" i="4"/>
  <c r="I400" i="4" l="1"/>
  <c r="C401" i="4" s="1"/>
  <c r="F400" i="4"/>
  <c r="G400" i="4" s="1"/>
  <c r="H401" i="4" l="1"/>
  <c r="J401" i="4" s="1"/>
  <c r="E401" i="4"/>
  <c r="F401" i="4" l="1"/>
  <c r="G401" i="4" s="1"/>
  <c r="I401" i="4"/>
  <c r="C402" i="4" s="1"/>
  <c r="H402" i="4" l="1"/>
  <c r="J402" i="4" s="1"/>
  <c r="E402" i="4"/>
  <c r="F402" i="4" l="1"/>
  <c r="G402" i="4" s="1"/>
  <c r="I402" i="4"/>
  <c r="C403" i="4" s="1"/>
  <c r="H403" i="4" l="1"/>
  <c r="J403" i="4" s="1"/>
  <c r="E403" i="4"/>
  <c r="F403" i="4" l="1"/>
  <c r="G403" i="4" s="1"/>
  <c r="I403" i="4"/>
  <c r="C404" i="4" s="1"/>
  <c r="H404" i="4" l="1"/>
  <c r="J404" i="4" s="1"/>
  <c r="E404" i="4"/>
  <c r="I404" i="4" l="1"/>
  <c r="C405" i="4" s="1"/>
  <c r="F404" i="4"/>
  <c r="G404" i="4" s="1"/>
  <c r="H405" i="4" l="1"/>
  <c r="J405" i="4" s="1"/>
  <c r="E405" i="4"/>
  <c r="F405" i="4" l="1"/>
  <c r="G405" i="4" s="1"/>
  <c r="I405" i="4"/>
  <c r="C406" i="4" s="1"/>
  <c r="H406" i="4" l="1"/>
  <c r="J406" i="4" s="1"/>
  <c r="E406" i="4"/>
  <c r="F406" i="4" l="1"/>
  <c r="G406" i="4" s="1"/>
  <c r="I406" i="4"/>
  <c r="C407" i="4" s="1"/>
  <c r="H407" i="4" l="1"/>
  <c r="J407" i="4" s="1"/>
  <c r="E407" i="4"/>
  <c r="F407" i="4" l="1"/>
  <c r="G407" i="4" s="1"/>
  <c r="I407" i="4"/>
  <c r="C408" i="4" s="1"/>
  <c r="H408" i="4" l="1"/>
  <c r="J408" i="4" s="1"/>
  <c r="E408" i="4"/>
  <c r="I408" i="4" l="1"/>
  <c r="C409" i="4" s="1"/>
  <c r="F408" i="4"/>
  <c r="G408" i="4" s="1"/>
  <c r="H409" i="4" l="1"/>
  <c r="J409" i="4" s="1"/>
  <c r="E409" i="4"/>
  <c r="I409" i="4" l="1"/>
  <c r="C410" i="4" s="1"/>
  <c r="F409" i="4"/>
  <c r="G409" i="4" s="1"/>
  <c r="H410" i="4" l="1"/>
  <c r="J410" i="4" s="1"/>
  <c r="E410" i="4"/>
  <c r="F410" i="4" l="1"/>
  <c r="G410" i="4" s="1"/>
  <c r="I410" i="4"/>
  <c r="C411" i="4" s="1"/>
  <c r="E411" i="4" l="1"/>
  <c r="H411" i="4"/>
  <c r="J411" i="4" s="1"/>
  <c r="I411" i="4" l="1"/>
  <c r="C412" i="4" s="1"/>
  <c r="F411" i="4"/>
  <c r="G411" i="4" s="1"/>
  <c r="E412" i="4" l="1"/>
  <c r="H412" i="4"/>
  <c r="J412" i="4" s="1"/>
  <c r="F412" i="4" l="1"/>
  <c r="G412" i="4" s="1"/>
  <c r="I412" i="4"/>
  <c r="C413" i="4" s="1"/>
  <c r="E413" i="4" l="1"/>
  <c r="H413" i="4"/>
  <c r="J413" i="4" s="1"/>
  <c r="F413" i="4" l="1"/>
  <c r="G413" i="4" s="1"/>
  <c r="I413" i="4"/>
  <c r="C414" i="4" s="1"/>
  <c r="H414" i="4" l="1"/>
  <c r="J414" i="4" s="1"/>
  <c r="E414" i="4"/>
  <c r="F414" i="4" l="1"/>
  <c r="G414" i="4" s="1"/>
  <c r="I414" i="4"/>
  <c r="C415" i="4" s="1"/>
  <c r="H415" i="4" l="1"/>
  <c r="J415" i="4" s="1"/>
  <c r="E415" i="4"/>
  <c r="I415" i="4" l="1"/>
  <c r="C416" i="4" s="1"/>
  <c r="F415" i="4"/>
  <c r="G415" i="4" s="1"/>
  <c r="H416" i="4" l="1"/>
  <c r="J416" i="4" s="1"/>
  <c r="E416" i="4"/>
  <c r="F416" i="4" l="1"/>
  <c r="G416" i="4" s="1"/>
  <c r="I416" i="4"/>
  <c r="C417" i="4" s="1"/>
  <c r="E417" i="4" l="1"/>
  <c r="H417" i="4"/>
  <c r="J417" i="4" s="1"/>
  <c r="F417" i="4" l="1"/>
  <c r="G417" i="4" s="1"/>
  <c r="I417" i="4"/>
  <c r="C418" i="4" s="1"/>
  <c r="H418" i="4" l="1"/>
  <c r="J418" i="4" s="1"/>
  <c r="E418" i="4"/>
  <c r="I418" i="4" l="1"/>
  <c r="C419" i="4" s="1"/>
  <c r="F418" i="4"/>
  <c r="G418" i="4" s="1"/>
  <c r="H419" i="4" l="1"/>
  <c r="J419" i="4" s="1"/>
  <c r="E419" i="4"/>
  <c r="I419" i="4" l="1"/>
  <c r="C420" i="4" s="1"/>
  <c r="F419" i="4"/>
  <c r="G419" i="4" s="1"/>
  <c r="H420" i="4" l="1"/>
  <c r="J420" i="4" s="1"/>
  <c r="E420" i="4"/>
  <c r="F420" i="4" l="1"/>
  <c r="G420" i="4" s="1"/>
  <c r="I420" i="4"/>
  <c r="C421" i="4" s="1"/>
  <c r="H421" i="4" l="1"/>
  <c r="J421" i="4" s="1"/>
  <c r="E421" i="4"/>
  <c r="F421" i="4" l="1"/>
  <c r="G421" i="4" s="1"/>
  <c r="I421" i="4"/>
  <c r="C422" i="4" s="1"/>
  <c r="H422" i="4" l="1"/>
  <c r="J422" i="4" s="1"/>
  <c r="E422" i="4"/>
  <c r="F422" i="4" l="1"/>
  <c r="G422" i="4" s="1"/>
  <c r="I422" i="4"/>
  <c r="C423" i="4" s="1"/>
  <c r="H423" i="4" l="1"/>
  <c r="J423" i="4" s="1"/>
  <c r="E423" i="4"/>
  <c r="I423" i="4" l="1"/>
  <c r="C424" i="4" s="1"/>
  <c r="F423" i="4"/>
  <c r="G423" i="4" s="1"/>
  <c r="H424" i="4" l="1"/>
  <c r="J424" i="4" s="1"/>
  <c r="E424" i="4"/>
  <c r="I424" i="4" l="1"/>
  <c r="C425" i="4" s="1"/>
  <c r="F424" i="4"/>
  <c r="G424" i="4" s="1"/>
  <c r="E425" i="4" l="1"/>
  <c r="H425" i="4"/>
  <c r="J425" i="4" s="1"/>
  <c r="F425" i="4" l="1"/>
  <c r="G425" i="4" s="1"/>
  <c r="I425" i="4"/>
  <c r="C426" i="4" s="1"/>
  <c r="H426" i="4" l="1"/>
  <c r="J426" i="4" s="1"/>
  <c r="E426" i="4"/>
  <c r="F426" i="4" l="1"/>
  <c r="G426" i="4" s="1"/>
  <c r="I426" i="4"/>
  <c r="C427" i="4" s="1"/>
  <c r="H427" i="4" l="1"/>
  <c r="J427" i="4" s="1"/>
  <c r="E427" i="4"/>
  <c r="I427" i="4" l="1"/>
  <c r="C428" i="4" s="1"/>
  <c r="F427" i="4"/>
  <c r="G427" i="4" s="1"/>
  <c r="H428" i="4" l="1"/>
  <c r="J428" i="4" s="1"/>
  <c r="E428" i="4"/>
  <c r="F428" i="4" l="1"/>
  <c r="G428" i="4" s="1"/>
  <c r="I428" i="4"/>
  <c r="C429" i="4" s="1"/>
  <c r="E429" i="4" l="1"/>
  <c r="H429" i="4"/>
  <c r="J429" i="4" s="1"/>
  <c r="F429" i="4" l="1"/>
  <c r="G429" i="4" s="1"/>
  <c r="I429" i="4"/>
  <c r="C430" i="4" s="1"/>
  <c r="E430" i="4" l="1"/>
  <c r="H430" i="4"/>
  <c r="J430" i="4" s="1"/>
  <c r="F430" i="4" l="1"/>
  <c r="G430" i="4" s="1"/>
  <c r="I430" i="4"/>
  <c r="C431" i="4" s="1"/>
  <c r="E431" i="4" l="1"/>
  <c r="H431" i="4"/>
  <c r="J431" i="4" s="1"/>
  <c r="F431" i="4" l="1"/>
  <c r="G431" i="4" s="1"/>
  <c r="I431" i="4"/>
  <c r="C432" i="4" s="1"/>
  <c r="H432" i="4" l="1"/>
  <c r="J432" i="4" s="1"/>
  <c r="E432" i="4"/>
  <c r="F432" i="4" l="1"/>
  <c r="G432" i="4" s="1"/>
  <c r="I432" i="4"/>
  <c r="C433" i="4" s="1"/>
  <c r="H433" i="4" l="1"/>
  <c r="J433" i="4" s="1"/>
  <c r="E433" i="4"/>
  <c r="I433" i="4" l="1"/>
  <c r="C434" i="4" s="1"/>
  <c r="F433" i="4"/>
  <c r="G433" i="4" s="1"/>
  <c r="H434" i="4" l="1"/>
  <c r="J434" i="4" s="1"/>
  <c r="E434" i="4"/>
  <c r="I434" i="4" l="1"/>
  <c r="C435" i="4" s="1"/>
  <c r="F434" i="4"/>
  <c r="G434" i="4" s="1"/>
  <c r="H435" i="4" l="1"/>
  <c r="J435" i="4" s="1"/>
  <c r="E435" i="4"/>
  <c r="F435" i="4" l="1"/>
  <c r="G435" i="4" s="1"/>
  <c r="I435" i="4"/>
  <c r="C436" i="4" s="1"/>
  <c r="H436" i="4" l="1"/>
  <c r="J436" i="4" s="1"/>
  <c r="E436" i="4"/>
  <c r="F436" i="4" l="1"/>
  <c r="G436" i="4" s="1"/>
  <c r="I436" i="4"/>
  <c r="C437" i="4" s="1"/>
  <c r="H437" i="4" l="1"/>
  <c r="J437" i="4" s="1"/>
  <c r="E437" i="4"/>
  <c r="I437" i="4" l="1"/>
  <c r="C438" i="4" s="1"/>
  <c r="F437" i="4"/>
  <c r="G437" i="4" s="1"/>
  <c r="H438" i="4" l="1"/>
  <c r="J438" i="4" s="1"/>
  <c r="E438" i="4"/>
  <c r="F438" i="4" l="1"/>
  <c r="G438" i="4" s="1"/>
  <c r="I438" i="4"/>
  <c r="C439" i="4" s="1"/>
  <c r="H439" i="4" l="1"/>
  <c r="J439" i="4" s="1"/>
  <c r="E439" i="4"/>
  <c r="I439" i="4" l="1"/>
  <c r="C440" i="4" s="1"/>
  <c r="F439" i="4"/>
  <c r="G439" i="4" s="1"/>
  <c r="H440" i="4" l="1"/>
  <c r="J440" i="4" s="1"/>
  <c r="E440" i="4"/>
  <c r="I440" i="4" l="1"/>
  <c r="C441" i="4" s="1"/>
  <c r="F440" i="4"/>
  <c r="G440" i="4" s="1"/>
  <c r="E441" i="4" l="1"/>
  <c r="H441" i="4"/>
  <c r="J441" i="4" s="1"/>
  <c r="F441" i="4" l="1"/>
  <c r="G441" i="4" s="1"/>
  <c r="I441" i="4"/>
  <c r="C442" i="4" s="1"/>
  <c r="H442" i="4" l="1"/>
  <c r="J442" i="4" s="1"/>
  <c r="E442" i="4"/>
  <c r="F442" i="4" l="1"/>
  <c r="G442" i="4" s="1"/>
  <c r="I442" i="4"/>
  <c r="C443" i="4" s="1"/>
  <c r="H443" i="4" l="1"/>
  <c r="J443" i="4" s="1"/>
  <c r="E443" i="4"/>
  <c r="I443" i="4" l="1"/>
  <c r="C444" i="4" s="1"/>
  <c r="F443" i="4"/>
  <c r="G443" i="4" s="1"/>
  <c r="H444" i="4" l="1"/>
  <c r="J444" i="4" s="1"/>
  <c r="E444" i="4"/>
  <c r="F444" i="4" l="1"/>
  <c r="G444" i="4" s="1"/>
  <c r="I444" i="4"/>
  <c r="C445" i="4" s="1"/>
  <c r="H445" i="4" l="1"/>
  <c r="J445" i="4" s="1"/>
  <c r="E445" i="4"/>
  <c r="F445" i="4" l="1"/>
  <c r="G445" i="4" s="1"/>
  <c r="I445" i="4"/>
  <c r="C446" i="4" s="1"/>
  <c r="H446" i="4" l="1"/>
  <c r="J446" i="4" s="1"/>
  <c r="E446" i="4"/>
  <c r="F446" i="4" l="1"/>
  <c r="G446" i="4" s="1"/>
  <c r="I446" i="4"/>
  <c r="C447" i="4" s="1"/>
  <c r="H447" i="4" l="1"/>
  <c r="J447" i="4" s="1"/>
  <c r="E447" i="4"/>
  <c r="F447" i="4" l="1"/>
  <c r="G447" i="4" s="1"/>
  <c r="I447" i="4"/>
  <c r="C448" i="4" s="1"/>
  <c r="H448" i="4" l="1"/>
  <c r="J448" i="4" s="1"/>
  <c r="E448" i="4"/>
  <c r="F448" i="4" l="1"/>
  <c r="G448" i="4" s="1"/>
  <c r="I448" i="4"/>
  <c r="C449" i="4" s="1"/>
  <c r="H449" i="4" l="1"/>
  <c r="J449" i="4" s="1"/>
  <c r="E449" i="4"/>
  <c r="I449" i="4" l="1"/>
  <c r="C450" i="4" s="1"/>
  <c r="F449" i="4"/>
  <c r="G449" i="4" s="1"/>
  <c r="H450" i="4" l="1"/>
  <c r="J450" i="4" s="1"/>
  <c r="E450" i="4"/>
  <c r="F450" i="4" l="1"/>
  <c r="G450" i="4" s="1"/>
  <c r="I450" i="4"/>
  <c r="C451" i="4" s="1"/>
  <c r="H451" i="4" l="1"/>
  <c r="J451" i="4" s="1"/>
  <c r="E451" i="4"/>
  <c r="F451" i="4" l="1"/>
  <c r="G451" i="4" s="1"/>
  <c r="I451" i="4"/>
  <c r="C452" i="4" s="1"/>
  <c r="H452" i="4" l="1"/>
  <c r="J452" i="4" s="1"/>
  <c r="E452" i="4"/>
  <c r="I452" i="4" l="1"/>
  <c r="C453" i="4" s="1"/>
  <c r="F452" i="4"/>
  <c r="G452" i="4" s="1"/>
  <c r="H453" i="4" l="1"/>
  <c r="J453" i="4" s="1"/>
  <c r="E453" i="4"/>
  <c r="F453" i="4" l="1"/>
  <c r="G453" i="4" s="1"/>
  <c r="I453" i="4"/>
  <c r="C454" i="4" s="1"/>
  <c r="E454" i="4" l="1"/>
  <c r="H454" i="4"/>
  <c r="J454" i="4" s="1"/>
  <c r="F454" i="4" l="1"/>
  <c r="G454" i="4" s="1"/>
  <c r="I454" i="4"/>
  <c r="C455" i="4" s="1"/>
  <c r="H455" i="4" l="1"/>
  <c r="J455" i="4" s="1"/>
  <c r="E455" i="4"/>
  <c r="F455" i="4" l="1"/>
  <c r="G455" i="4" s="1"/>
  <c r="I455" i="4"/>
  <c r="C456" i="4" s="1"/>
  <c r="H456" i="4" l="1"/>
  <c r="J456" i="4" s="1"/>
  <c r="E456" i="4"/>
  <c r="F456" i="4" l="1"/>
  <c r="G456" i="4" s="1"/>
  <c r="I456" i="4"/>
  <c r="C457" i="4" s="1"/>
  <c r="H457" i="4" l="1"/>
  <c r="J457" i="4" s="1"/>
  <c r="E457" i="4"/>
  <c r="F457" i="4" l="1"/>
  <c r="G457" i="4" s="1"/>
  <c r="I457" i="4"/>
  <c r="C458" i="4" s="1"/>
  <c r="H458" i="4" l="1"/>
  <c r="J458" i="4" s="1"/>
  <c r="E458" i="4"/>
  <c r="F458" i="4" l="1"/>
  <c r="G458" i="4" s="1"/>
  <c r="I458" i="4"/>
  <c r="C459" i="4" s="1"/>
  <c r="H459" i="4" l="1"/>
  <c r="J459" i="4" s="1"/>
  <c r="E459" i="4"/>
  <c r="F459" i="4" l="1"/>
  <c r="G459" i="4" s="1"/>
  <c r="I459" i="4"/>
  <c r="C460" i="4" s="1"/>
  <c r="H460" i="4" l="1"/>
  <c r="J460" i="4" s="1"/>
  <c r="E460" i="4"/>
  <c r="F460" i="4" l="1"/>
  <c r="G460" i="4" s="1"/>
  <c r="I460" i="4"/>
  <c r="C461" i="4" s="1"/>
  <c r="H461" i="4" l="1"/>
  <c r="J461" i="4" s="1"/>
  <c r="E461" i="4"/>
  <c r="F461" i="4" l="1"/>
  <c r="G461" i="4" s="1"/>
  <c r="I461" i="4"/>
  <c r="C462" i="4" s="1"/>
  <c r="H462" i="4" l="1"/>
  <c r="J462" i="4" s="1"/>
  <c r="E462" i="4"/>
  <c r="F462" i="4" l="1"/>
  <c r="G462" i="4" s="1"/>
  <c r="I462" i="4"/>
  <c r="C463" i="4" s="1"/>
  <c r="E463" i="4" l="1"/>
  <c r="H463" i="4"/>
  <c r="J463" i="4" s="1"/>
  <c r="F463" i="4" l="1"/>
  <c r="G463" i="4" s="1"/>
  <c r="I463" i="4"/>
  <c r="C464" i="4" s="1"/>
  <c r="H464" i="4" l="1"/>
  <c r="J464" i="4" s="1"/>
  <c r="E464" i="4"/>
  <c r="I464" i="4" l="1"/>
  <c r="C465" i="4" s="1"/>
  <c r="F464" i="4"/>
  <c r="G464" i="4" s="1"/>
  <c r="H465" i="4" l="1"/>
  <c r="J465" i="4" s="1"/>
  <c r="E465" i="4"/>
  <c r="F465" i="4" l="1"/>
  <c r="G465" i="4" s="1"/>
  <c r="I465" i="4"/>
  <c r="C466" i="4" s="1"/>
  <c r="H466" i="4" l="1"/>
  <c r="J466" i="4" s="1"/>
  <c r="E466" i="4"/>
  <c r="F466" i="4" l="1"/>
  <c r="G466" i="4" s="1"/>
  <c r="I466" i="4"/>
  <c r="C467" i="4" s="1"/>
  <c r="H467" i="4" l="1"/>
  <c r="J467" i="4" s="1"/>
  <c r="E467" i="4"/>
  <c r="F467" i="4" l="1"/>
  <c r="G467" i="4" s="1"/>
  <c r="I467" i="4"/>
  <c r="C468" i="4" s="1"/>
  <c r="H468" i="4" l="1"/>
  <c r="J468" i="4" s="1"/>
  <c r="E468" i="4"/>
  <c r="F468" i="4" l="1"/>
  <c r="G468" i="4" s="1"/>
  <c r="I468" i="4"/>
  <c r="C469" i="4" s="1"/>
  <c r="H469" i="4" l="1"/>
  <c r="J469" i="4" s="1"/>
  <c r="E469" i="4"/>
  <c r="F469" i="4" l="1"/>
  <c r="G469" i="4" s="1"/>
  <c r="I469" i="4"/>
  <c r="C470" i="4" s="1"/>
  <c r="H470" i="4" l="1"/>
  <c r="J470" i="4" s="1"/>
  <c r="E470" i="4"/>
  <c r="I470" i="4" l="1"/>
  <c r="C471" i="4" s="1"/>
  <c r="F470" i="4"/>
  <c r="G470" i="4" s="1"/>
  <c r="E471" i="4" l="1"/>
  <c r="H471" i="4"/>
  <c r="J471" i="4" s="1"/>
  <c r="F471" i="4" l="1"/>
  <c r="G471" i="4" s="1"/>
  <c r="I471" i="4"/>
  <c r="C472" i="4" s="1"/>
  <c r="H472" i="4" l="1"/>
  <c r="J472" i="4" s="1"/>
  <c r="E472" i="4"/>
  <c r="I472" i="4" l="1"/>
  <c r="C473" i="4" s="1"/>
  <c r="F472" i="4"/>
  <c r="G472" i="4" s="1"/>
  <c r="E473" i="4" l="1"/>
  <c r="H473" i="4"/>
  <c r="J473" i="4" s="1"/>
  <c r="F473" i="4" l="1"/>
  <c r="G473" i="4" s="1"/>
  <c r="I473" i="4"/>
  <c r="C474" i="4" s="1"/>
  <c r="H474" i="4" l="1"/>
  <c r="J474" i="4" s="1"/>
  <c r="E474" i="4"/>
  <c r="F474" i="4" l="1"/>
  <c r="G474" i="4" s="1"/>
  <c r="I474" i="4"/>
  <c r="C475" i="4" s="1"/>
  <c r="H475" i="4" l="1"/>
  <c r="J475" i="4" s="1"/>
  <c r="E475" i="4"/>
  <c r="I475" i="4" l="1"/>
  <c r="C476" i="4" s="1"/>
  <c r="F475" i="4"/>
  <c r="G475" i="4" s="1"/>
  <c r="E476" i="4" l="1"/>
  <c r="H476" i="4"/>
  <c r="J476" i="4" s="1"/>
  <c r="I476" i="4" l="1"/>
  <c r="C477" i="4" s="1"/>
  <c r="F476" i="4"/>
  <c r="G476" i="4" s="1"/>
  <c r="H477" i="4" l="1"/>
  <c r="J477" i="4" s="1"/>
  <c r="E477" i="4"/>
  <c r="F477" i="4" l="1"/>
  <c r="G477" i="4" s="1"/>
  <c r="I477" i="4"/>
  <c r="C478" i="4" s="1"/>
  <c r="H478" i="4" l="1"/>
  <c r="J478" i="4" s="1"/>
  <c r="E478" i="4"/>
  <c r="F478" i="4" l="1"/>
  <c r="G478" i="4" s="1"/>
  <c r="I478" i="4"/>
  <c r="C479" i="4" s="1"/>
  <c r="H479" i="4" l="1"/>
  <c r="J479" i="4" s="1"/>
  <c r="E479" i="4"/>
  <c r="F479" i="4" l="1"/>
  <c r="G479" i="4" s="1"/>
  <c r="I479" i="4"/>
  <c r="C480" i="4" s="1"/>
  <c r="H480" i="4" l="1"/>
  <c r="J480" i="4" s="1"/>
  <c r="E480" i="4"/>
  <c r="F480" i="4" l="1"/>
  <c r="G480" i="4" s="1"/>
  <c r="I480" i="4"/>
  <c r="C481" i="4" s="1"/>
  <c r="H481" i="4" l="1"/>
  <c r="J481" i="4" s="1"/>
  <c r="E481" i="4"/>
  <c r="F481" i="4" l="1"/>
  <c r="G481" i="4" s="1"/>
  <c r="I481" i="4"/>
  <c r="C482" i="4" s="1"/>
  <c r="H482" i="4" l="1"/>
  <c r="J482" i="4" s="1"/>
  <c r="E482" i="4"/>
  <c r="F482" i="4" l="1"/>
  <c r="G482" i="4" s="1"/>
  <c r="I482" i="4"/>
  <c r="C483" i="4" s="1"/>
  <c r="H483" i="4" l="1"/>
  <c r="J483" i="4" s="1"/>
  <c r="E483" i="4"/>
  <c r="I483" i="4" l="1"/>
  <c r="C484" i="4" s="1"/>
  <c r="F483" i="4"/>
  <c r="G483" i="4" s="1"/>
  <c r="H484" i="4" l="1"/>
  <c r="J484" i="4" s="1"/>
  <c r="E484" i="4"/>
  <c r="F484" i="4" l="1"/>
  <c r="G484" i="4" s="1"/>
  <c r="I484" i="4"/>
  <c r="C485" i="4" s="1"/>
  <c r="H485" i="4" l="1"/>
  <c r="J485" i="4" s="1"/>
  <c r="E485" i="4"/>
  <c r="I485" i="4" l="1"/>
  <c r="C486" i="4" s="1"/>
  <c r="F485" i="4"/>
  <c r="G485" i="4" s="1"/>
  <c r="H486" i="4" l="1"/>
  <c r="J486" i="4" s="1"/>
  <c r="E486" i="4"/>
  <c r="I486" i="4" l="1"/>
  <c r="C487" i="4" s="1"/>
  <c r="F486" i="4"/>
  <c r="G486" i="4" s="1"/>
  <c r="H487" i="4" l="1"/>
  <c r="J487" i="4" s="1"/>
  <c r="E487" i="4"/>
  <c r="F487" i="4" l="1"/>
  <c r="G487" i="4" s="1"/>
  <c r="I487" i="4"/>
  <c r="C488" i="4" s="1"/>
  <c r="H488" i="4" l="1"/>
  <c r="J488" i="4" s="1"/>
  <c r="E488" i="4"/>
  <c r="F488" i="4" l="1"/>
  <c r="G488" i="4" s="1"/>
  <c r="I488" i="4"/>
  <c r="C489" i="4" s="1"/>
  <c r="H489" i="4" l="1"/>
  <c r="J489" i="4" s="1"/>
  <c r="E489" i="4"/>
  <c r="F489" i="4" l="1"/>
  <c r="G489" i="4" s="1"/>
  <c r="I489" i="4"/>
  <c r="C490" i="4" s="1"/>
  <c r="H490" i="4" l="1"/>
  <c r="J490" i="4" s="1"/>
  <c r="E490" i="4"/>
  <c r="F490" i="4" l="1"/>
  <c r="G490" i="4" s="1"/>
  <c r="I490" i="4"/>
  <c r="C491" i="4" s="1"/>
  <c r="H491" i="4" l="1"/>
  <c r="J491" i="4" s="1"/>
  <c r="E491" i="4"/>
  <c r="I491" i="4" l="1"/>
  <c r="C492" i="4" s="1"/>
  <c r="F491" i="4"/>
  <c r="G491" i="4" s="1"/>
  <c r="H492" i="4" l="1"/>
  <c r="J492" i="4" s="1"/>
  <c r="E492" i="4"/>
  <c r="F492" i="4" l="1"/>
  <c r="G492" i="4" s="1"/>
  <c r="I492" i="4"/>
  <c r="C493" i="4" s="1"/>
  <c r="H493" i="4" l="1"/>
  <c r="J493" i="4" s="1"/>
  <c r="E493" i="4"/>
  <c r="F493" i="4" l="1"/>
  <c r="G493" i="4" s="1"/>
  <c r="I493" i="4"/>
  <c r="C494" i="4" s="1"/>
  <c r="H494" i="4" l="1"/>
  <c r="J494" i="4" s="1"/>
  <c r="E494" i="4"/>
  <c r="F494" i="4" l="1"/>
  <c r="G494" i="4" s="1"/>
  <c r="I494" i="4"/>
  <c r="C495" i="4" s="1"/>
  <c r="H495" i="4" l="1"/>
  <c r="J495" i="4" s="1"/>
  <c r="E495" i="4"/>
  <c r="F495" i="4" l="1"/>
  <c r="G495" i="4" s="1"/>
  <c r="I495" i="4"/>
  <c r="C496" i="4" s="1"/>
  <c r="E496" i="4" l="1"/>
  <c r="H496" i="4"/>
  <c r="J496" i="4" s="1"/>
  <c r="I496" i="4" l="1"/>
  <c r="C497" i="4" s="1"/>
  <c r="F496" i="4"/>
  <c r="G496" i="4" s="1"/>
  <c r="G9" i="4" l="1"/>
  <c r="G8" i="4"/>
  <c r="H497" i="4"/>
  <c r="J497" i="4" s="1"/>
  <c r="E497" i="4"/>
  <c r="F497" i="4" l="1"/>
  <c r="G497" i="4" s="1"/>
  <c r="I497" i="4"/>
  <c r="G7" i="4" s="1"/>
  <c r="J48" i="1"/>
  <c r="O48" i="1"/>
  <c r="O39" i="1" l="1"/>
  <c r="H17" i="6" l="1"/>
  <c r="H32" i="6" s="1"/>
  <c r="J17" i="6"/>
  <c r="J32" i="6" s="1"/>
  <c r="B35" i="6" l="1"/>
  <c r="B34" i="6"/>
</calcChain>
</file>

<file path=xl/sharedStrings.xml><?xml version="1.0" encoding="utf-8"?>
<sst xmlns="http://schemas.openxmlformats.org/spreadsheetml/2006/main" count="210" uniqueCount="185">
  <si>
    <t>Assumption:</t>
  </si>
  <si>
    <t>INCOME STATEMENT</t>
  </si>
  <si>
    <t>General, Admin exp.</t>
  </si>
  <si>
    <t>PP&amp;E</t>
  </si>
  <si>
    <t>Dep. on store stright-line 30 years</t>
  </si>
  <si>
    <t>Building Maintenance</t>
  </si>
  <si>
    <t xml:space="preserve">Start up </t>
  </si>
  <si>
    <t>Cash</t>
  </si>
  <si>
    <t>Mortgage Expense</t>
  </si>
  <si>
    <t>Pre-tax income</t>
  </si>
  <si>
    <t>Income taxes</t>
  </si>
  <si>
    <t>Net Income</t>
  </si>
  <si>
    <t>BALANCE SHEET</t>
  </si>
  <si>
    <t>Assets</t>
  </si>
  <si>
    <t>Total assets</t>
  </si>
  <si>
    <t>Liabilities and shareholder's equity</t>
  </si>
  <si>
    <t>Mortgage</t>
  </si>
  <si>
    <t>Retained Earnings</t>
  </si>
  <si>
    <t>Total liabilities and shareholder's equity</t>
  </si>
  <si>
    <t>Current Ratio</t>
  </si>
  <si>
    <t>Cumulative Interest</t>
  </si>
  <si>
    <t>Ending Balance</t>
  </si>
  <si>
    <t>Interest</t>
  </si>
  <si>
    <t>Principal</t>
  </si>
  <si>
    <t>Total Payment</t>
  </si>
  <si>
    <t>Extra Payment</t>
  </si>
  <si>
    <t>Scheduled Payment</t>
  </si>
  <si>
    <t>Beginning Balance</t>
  </si>
  <si>
    <t>Payment Date</t>
  </si>
  <si>
    <t>Pmt. No.</t>
  </si>
  <si>
    <t>Lender name:</t>
  </si>
  <si>
    <t>Optional extra payments</t>
  </si>
  <si>
    <t>Total interest</t>
  </si>
  <si>
    <t>Start date of loan</t>
  </si>
  <si>
    <t>Total early payments</t>
  </si>
  <si>
    <t>Number of payments per year</t>
  </si>
  <si>
    <t>Actual number of payments</t>
  </si>
  <si>
    <t>Loan period in years</t>
  </si>
  <si>
    <t>Scheduled number of payments</t>
  </si>
  <si>
    <t>Annual interest rate</t>
  </si>
  <si>
    <t>Scheduled payment</t>
  </si>
  <si>
    <t>Loan amount</t>
  </si>
  <si>
    <t>Loan summary</t>
  </si>
  <si>
    <t>Enter values</t>
  </si>
  <si>
    <t>Loan Amortization Schedule</t>
  </si>
  <si>
    <t>Total Mortgage Payment</t>
  </si>
  <si>
    <t>Property Taxes</t>
  </si>
  <si>
    <t xml:space="preserve"> Property Insurrance</t>
  </si>
  <si>
    <t>Rentee's Insurrance</t>
  </si>
  <si>
    <t>Rental</t>
  </si>
  <si>
    <t>Bedrooms</t>
  </si>
  <si>
    <t>Street Parking</t>
  </si>
  <si>
    <t>Price/Semester</t>
  </si>
  <si>
    <t>Revenue</t>
  </si>
  <si>
    <t>Parking</t>
  </si>
  <si>
    <t>Net Revenue</t>
  </si>
  <si>
    <t>Fall</t>
  </si>
  <si>
    <t>Winter</t>
  </si>
  <si>
    <t>Spring</t>
  </si>
  <si>
    <t>Bed Room Occupancy</t>
  </si>
  <si>
    <t>Occupance per Bedroom</t>
  </si>
  <si>
    <t>Street Parking Occupancy</t>
  </si>
  <si>
    <t>Room Rental Revenue</t>
  </si>
  <si>
    <t>Parking Revenue</t>
  </si>
  <si>
    <t>Summer</t>
  </si>
  <si>
    <t>Price/Summer</t>
  </si>
  <si>
    <t>Appartment Costs</t>
  </si>
  <si>
    <t>Taxes Payable</t>
  </si>
  <si>
    <t>Capital</t>
  </si>
  <si>
    <t>Marketing Expenses</t>
  </si>
  <si>
    <t>Income Tax ratedue 4/15/xx</t>
  </si>
  <si>
    <t>Furnishings</t>
  </si>
  <si>
    <t>Depciation on Furnishings</t>
  </si>
  <si>
    <t>Loft Bed + Desk</t>
  </si>
  <si>
    <t>Couch</t>
  </si>
  <si>
    <t>TV</t>
  </si>
  <si>
    <t>TV stand</t>
  </si>
  <si>
    <t>Refrigerater</t>
  </si>
  <si>
    <t>Chairs</t>
  </si>
  <si>
    <t>Price/Unit</t>
  </si>
  <si>
    <t>Units</t>
  </si>
  <si>
    <t>Price</t>
  </si>
  <si>
    <t>Chest of Drawers</t>
  </si>
  <si>
    <t>Deposit</t>
  </si>
  <si>
    <t>Total Cost of Furnishings</t>
  </si>
  <si>
    <t>Building Depreciation</t>
  </si>
  <si>
    <t>Furishing Depreciation</t>
  </si>
  <si>
    <t>Total Expense</t>
  </si>
  <si>
    <t>A+ Apartments</t>
  </si>
  <si>
    <t>Building Maintenance Total</t>
  </si>
  <si>
    <t>Parking and Paving</t>
  </si>
  <si>
    <t xml:space="preserve">Grounds Keeping </t>
  </si>
  <si>
    <t xml:space="preserve">Security </t>
  </si>
  <si>
    <t>Enviroment Safty</t>
  </si>
  <si>
    <t>Fixed Cost</t>
  </si>
  <si>
    <t>Waste</t>
  </si>
  <si>
    <t>Water</t>
  </si>
  <si>
    <t>Electricity</t>
  </si>
  <si>
    <t>Amenities</t>
  </si>
  <si>
    <t>Cable</t>
  </si>
  <si>
    <t>Internet</t>
  </si>
  <si>
    <t>Total Cost of Amenities</t>
  </si>
  <si>
    <t>% or cost/acre</t>
  </si>
  <si>
    <t>Debt Source</t>
  </si>
  <si>
    <t>Amount</t>
  </si>
  <si>
    <t>WA</t>
  </si>
  <si>
    <t>Equity Source</t>
  </si>
  <si>
    <t>Long-Term Debt</t>
  </si>
  <si>
    <t>Total</t>
  </si>
  <si>
    <t>WAD</t>
  </si>
  <si>
    <t>Beta</t>
  </si>
  <si>
    <t>Risk free rate</t>
  </si>
  <si>
    <t>Rate of S&amp;P 500</t>
  </si>
  <si>
    <t>Risk Premium of this Stock</t>
  </si>
  <si>
    <t>Risk premium of S&amp;P 500</t>
  </si>
  <si>
    <t>CAPM, Actual Return of my stock</t>
  </si>
  <si>
    <t>% of Debt to Debt and Equity</t>
  </si>
  <si>
    <t>Tax Rate</t>
  </si>
  <si>
    <t>WACC less Deductible Int. Exp.</t>
  </si>
  <si>
    <t>% of Equity to Debt and Equity</t>
  </si>
  <si>
    <t>A X B</t>
  </si>
  <si>
    <t>Computed WACC</t>
  </si>
  <si>
    <t>Interest Expense</t>
  </si>
  <si>
    <t>Operating Profit</t>
  </si>
  <si>
    <t>Taxes</t>
  </si>
  <si>
    <t>Desired Debt</t>
  </si>
  <si>
    <t>Desired Equity</t>
  </si>
  <si>
    <t>Relevered Beta</t>
  </si>
  <si>
    <t>Half of Occupant Rent</t>
  </si>
  <si>
    <t>Total General Admin Exp</t>
  </si>
  <si>
    <t>Hourly Pay ($8/hour 20 hours a week)</t>
  </si>
  <si>
    <t>5 years</t>
  </si>
  <si>
    <t xml:space="preserve">Replace Furnishings </t>
  </si>
  <si>
    <t>8 years with 3% price inflation</t>
  </si>
  <si>
    <t>Cash From Operations</t>
  </si>
  <si>
    <t>Capital Expenditures</t>
  </si>
  <si>
    <t>NPV</t>
  </si>
  <si>
    <t>IRR</t>
  </si>
  <si>
    <t>WACC</t>
  </si>
  <si>
    <t>Less: for tax purposes Dep Exp</t>
  </si>
  <si>
    <t>Taxable Operating Income</t>
  </si>
  <si>
    <t>Add: Dep Exp</t>
  </si>
  <si>
    <t>Net Cash from Operations</t>
  </si>
  <si>
    <t>Changes in Working Capital</t>
  </si>
  <si>
    <t>Liquidate Working Capital</t>
  </si>
  <si>
    <t>Free Cash Flows</t>
  </si>
  <si>
    <t>Less: Taxes on Operating Inc. (15%)</t>
  </si>
  <si>
    <t>Buy: Furnishings</t>
  </si>
  <si>
    <t>Apartment</t>
  </si>
  <si>
    <t>Accumulated depreciation Apartments</t>
  </si>
  <si>
    <t>Net Apartment</t>
  </si>
  <si>
    <t>Accumulated depreciation Furnishings</t>
  </si>
  <si>
    <t>Net Furnishings</t>
  </si>
  <si>
    <t>16 years with 3% price inflation</t>
  </si>
  <si>
    <t>ROE</t>
  </si>
  <si>
    <t>ROA</t>
  </si>
  <si>
    <t>Debt to Equity</t>
  </si>
  <si>
    <t xml:space="preserve"> </t>
  </si>
  <si>
    <t>Add: Mortgage Expense</t>
  </si>
  <si>
    <t>Add: Total Taxes</t>
  </si>
  <si>
    <t>Taxes on Operating Income</t>
  </si>
  <si>
    <t>Sell of Apartments</t>
  </si>
  <si>
    <t>Sell of Furnishings</t>
  </si>
  <si>
    <t>Information based on long term WACC</t>
  </si>
  <si>
    <t>Debt</t>
  </si>
  <si>
    <t>Equity</t>
  </si>
  <si>
    <t>Debt ratio</t>
  </si>
  <si>
    <t>Equity ratio</t>
  </si>
  <si>
    <t>Tax rate</t>
  </si>
  <si>
    <t>Unlevered Beta</t>
  </si>
  <si>
    <t>Buy: Land</t>
  </si>
  <si>
    <t>Buy: Building</t>
  </si>
  <si>
    <t>ADC</t>
  </si>
  <si>
    <t>Property Tax</t>
  </si>
  <si>
    <t xml:space="preserve">Property Tax increases </t>
  </si>
  <si>
    <t>annually</t>
  </si>
  <si>
    <t>Land</t>
  </si>
  <si>
    <t>Sell: Land</t>
  </si>
  <si>
    <t>Tax on Sale of Gains</t>
  </si>
  <si>
    <t>Price of Land need to be</t>
  </si>
  <si>
    <t>Globe &amp; Mad</t>
  </si>
  <si>
    <t>ARE</t>
  </si>
  <si>
    <t>Price of Apartment needs to be</t>
  </si>
  <si>
    <t>Note* There is no account receivable because students will pay for rent up front for the semester.</t>
  </si>
  <si>
    <t>Mortgage on 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</si>
</sst>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_)"/>
    <numFmt numFmtId="167" formatCode="0.00?%_)"/>
    <numFmt numFmtId="168" formatCode="_(* #,##0.00_);_(* \(#,##0.00\);_(* \-??_);_(@_)"/>
    <numFmt numFmtId="169" formatCode="_(* #,##0_);_(* \(#,##0\);_(* \-??_);_(@_)"/>
    <numFmt numFmtId="170" formatCode="_(\$* #,##0_);_(\$* \(#,##0\);_(\$* \-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1"/>
      <scheme val="minor"/>
    </font>
    <font>
      <sz val="10"/>
      <name val="Arial"/>
      <family val="2"/>
    </font>
    <font>
      <sz val="10"/>
      <color indexed="23"/>
      <name val="Calibri"/>
      <family val="1"/>
      <scheme val="minor"/>
    </font>
    <font>
      <sz val="11"/>
      <color theme="1"/>
      <name val="Agency FB"/>
      <family val="2"/>
    </font>
    <font>
      <sz val="11"/>
      <color theme="1"/>
      <name val="Calibri"/>
      <family val="1"/>
      <scheme val="minor"/>
    </font>
    <font>
      <b/>
      <sz val="10"/>
      <color theme="1"/>
      <name val="Calibri"/>
      <family val="1"/>
      <scheme val="minor"/>
    </font>
    <font>
      <b/>
      <sz val="10"/>
      <name val="Calibri"/>
      <family val="1"/>
      <scheme val="minor"/>
    </font>
    <font>
      <sz val="11"/>
      <color rgb="FF3F3F76"/>
      <name val="Agency FB"/>
      <family val="2"/>
    </font>
    <font>
      <sz val="10"/>
      <color rgb="FF3F3F76"/>
      <name val="Calibri"/>
      <family val="1"/>
      <scheme val="minor"/>
    </font>
    <font>
      <b/>
      <sz val="11"/>
      <color rgb="FFFA7D00"/>
      <name val="Agency FB"/>
      <family val="2"/>
    </font>
    <font>
      <b/>
      <sz val="10"/>
      <color rgb="FFFA7D00"/>
      <name val="Calibri"/>
      <family val="1"/>
      <scheme val="minor"/>
    </font>
    <font>
      <b/>
      <sz val="18"/>
      <name val="Cambria"/>
      <family val="2"/>
      <scheme val="maj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charset val="1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hair">
        <color indexed="16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indexed="64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/>
      <top style="medium">
        <color rgb="FF7030A0"/>
      </top>
      <bottom style="medium">
        <color indexed="64"/>
      </bottom>
      <diagonal/>
    </border>
    <border>
      <left style="medium">
        <color rgb="FF7030A0"/>
      </left>
      <right style="medium">
        <color indexed="64"/>
      </right>
      <top style="medium">
        <color rgb="FF7030A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6" fillId="5" borderId="0" applyNumberFormat="0" applyBorder="0" applyAlignment="0" applyProtection="0"/>
    <xf numFmtId="0" fontId="10" fillId="2" borderId="1" applyNumberFormat="0" applyAlignment="0" applyProtection="0"/>
    <xf numFmtId="0" fontId="12" fillId="3" borderId="1" applyNumberFormat="0" applyAlignment="0" applyProtection="0"/>
    <xf numFmtId="0" fontId="18" fillId="0" borderId="0"/>
  </cellStyleXfs>
  <cellXfs count="182">
    <xf numFmtId="0" fontId="0" fillId="0" borderId="0" xfId="0"/>
    <xf numFmtId="43" fontId="0" fillId="0" borderId="0" xfId="1" applyFont="1" applyBorder="1"/>
    <xf numFmtId="9" fontId="0" fillId="0" borderId="0" xfId="1" applyNumberFormat="1" applyFont="1" applyBorder="1"/>
    <xf numFmtId="164" fontId="0" fillId="0" borderId="0" xfId="1" applyNumberFormat="1" applyFont="1" applyBorder="1"/>
    <xf numFmtId="9" fontId="0" fillId="0" borderId="0" xfId="3" applyFont="1" applyBorder="1"/>
    <xf numFmtId="0" fontId="0" fillId="0" borderId="0" xfId="0" applyBorder="1"/>
    <xf numFmtId="43" fontId="2" fillId="0" borderId="0" xfId="1" applyFont="1" applyBorder="1"/>
    <xf numFmtId="9" fontId="2" fillId="0" borderId="0" xfId="3" applyFont="1" applyBorder="1" applyAlignment="1">
      <alignment horizontal="center" wrapText="1"/>
    </xf>
    <xf numFmtId="43" fontId="0" fillId="0" borderId="0" xfId="1" applyFont="1" applyBorder="1" applyAlignment="1">
      <alignment horizontal="left" indent="1"/>
    </xf>
    <xf numFmtId="164" fontId="2" fillId="0" borderId="0" xfId="1" quotePrefix="1" applyNumberFormat="1" applyFont="1" applyBorder="1" applyAlignment="1">
      <alignment vertical="center"/>
    </xf>
    <xf numFmtId="9" fontId="2" fillId="0" borderId="0" xfId="3" applyFont="1" applyBorder="1" applyAlignment="1">
      <alignment wrapText="1"/>
    </xf>
    <xf numFmtId="43" fontId="2" fillId="0" borderId="0" xfId="1" quotePrefix="1" applyFont="1" applyBorder="1" applyAlignment="1">
      <alignment vertical="center"/>
    </xf>
    <xf numFmtId="0" fontId="2" fillId="0" borderId="0" xfId="3" applyNumberFormat="1" applyFont="1" applyBorder="1" applyAlignment="1">
      <alignment wrapText="1"/>
    </xf>
    <xf numFmtId="43" fontId="0" fillId="0" borderId="0" xfId="1" applyFont="1" applyBorder="1" applyAlignment="1">
      <alignment horizontal="left" indent="2"/>
    </xf>
    <xf numFmtId="165" fontId="0" fillId="0" borderId="0" xfId="2" applyNumberFormat="1" applyFont="1" applyBorder="1"/>
    <xf numFmtId="9" fontId="0" fillId="0" borderId="0" xfId="0" applyNumberFormat="1" applyBorder="1"/>
    <xf numFmtId="43" fontId="2" fillId="0" borderId="0" xfId="1" applyFont="1" applyBorder="1" applyAlignment="1">
      <alignment horizontal="left"/>
    </xf>
    <xf numFmtId="43" fontId="0" fillId="0" borderId="0" xfId="1" applyFont="1" applyBorder="1" applyAlignment="1">
      <alignment horizontal="left"/>
    </xf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>
      <alignment horizontal="left" indent="2"/>
    </xf>
    <xf numFmtId="43" fontId="0" fillId="0" borderId="0" xfId="0" applyNumberFormat="1" applyBorder="1"/>
    <xf numFmtId="0" fontId="0" fillId="0" borderId="0" xfId="0" quotePrefix="1" applyBorder="1"/>
    <xf numFmtId="10" fontId="0" fillId="0" borderId="0" xfId="2" applyNumberFormat="1" applyFont="1" applyBorder="1"/>
    <xf numFmtId="43" fontId="0" fillId="0" borderId="0" xfId="1" applyFont="1" applyFill="1" applyBorder="1" applyAlignment="1">
      <alignment horizontal="left"/>
    </xf>
    <xf numFmtId="43" fontId="0" fillId="0" borderId="0" xfId="1" applyNumberFormat="1" applyFont="1" applyBorder="1"/>
    <xf numFmtId="43" fontId="0" fillId="0" borderId="0" xfId="3" applyNumberFormat="1" applyFont="1" applyBorder="1"/>
    <xf numFmtId="0" fontId="3" fillId="0" borderId="0" xfId="4" applyFont="1" applyBorder="1"/>
    <xf numFmtId="0" fontId="3" fillId="0" borderId="0" xfId="4" applyFont="1" applyBorder="1" applyAlignment="1">
      <alignment horizontal="center"/>
    </xf>
    <xf numFmtId="0" fontId="3" fillId="0" borderId="0" xfId="4" applyFont="1" applyBorder="1" applyAlignment="1">
      <alignment horizontal="left"/>
    </xf>
    <xf numFmtId="44" fontId="5" fillId="4" borderId="0" xfId="5" applyNumberFormat="1" applyFont="1" applyFill="1" applyBorder="1" applyAlignment="1">
      <alignment horizontal="right"/>
    </xf>
    <xf numFmtId="44" fontId="5" fillId="4" borderId="0" xfId="5" applyNumberFormat="1" applyFont="1" applyFill="1" applyBorder="1" applyAlignment="1" applyProtection="1">
      <alignment horizontal="right"/>
      <protection locked="0"/>
    </xf>
    <xf numFmtId="14" fontId="5" fillId="4" borderId="0" xfId="4" applyNumberFormat="1" applyFont="1" applyFill="1" applyBorder="1" applyAlignment="1">
      <alignment horizontal="right"/>
    </xf>
    <xf numFmtId="0" fontId="5" fillId="4" borderId="0" xfId="4" applyFont="1" applyFill="1" applyBorder="1" applyAlignment="1">
      <alignment horizontal="left"/>
    </xf>
    <xf numFmtId="0" fontId="3" fillId="0" borderId="0" xfId="4" applyFont="1" applyBorder="1" applyAlignment="1">
      <alignment wrapText="1"/>
    </xf>
    <xf numFmtId="0" fontId="7" fillId="5" borderId="2" xfId="6" applyFont="1" applyBorder="1" applyAlignment="1" applyProtection="1">
      <alignment horizontal="left" wrapText="1" indent="3"/>
    </xf>
    <xf numFmtId="0" fontId="7" fillId="5" borderId="2" xfId="6" applyFont="1" applyBorder="1" applyAlignment="1" applyProtection="1">
      <alignment horizontal="left" wrapText="1" indent="2"/>
    </xf>
    <xf numFmtId="0" fontId="7" fillId="5" borderId="2" xfId="6" applyFont="1" applyBorder="1" applyAlignment="1">
      <alignment horizontal="left"/>
    </xf>
    <xf numFmtId="0" fontId="8" fillId="5" borderId="3" xfId="6" applyFont="1" applyBorder="1" applyAlignment="1" applyProtection="1">
      <alignment horizontal="center" vertical="center" wrapText="1"/>
    </xf>
    <xf numFmtId="0" fontId="8" fillId="5" borderId="4" xfId="6" applyFont="1" applyBorder="1" applyAlignment="1" applyProtection="1">
      <alignment horizontal="center" vertical="center" wrapText="1"/>
    </xf>
    <xf numFmtId="0" fontId="8" fillId="5" borderId="5" xfId="6" applyFont="1" applyBorder="1" applyAlignment="1" applyProtection="1">
      <alignment horizontal="center" vertical="center" wrapText="1"/>
    </xf>
    <xf numFmtId="0" fontId="7" fillId="5" borderId="0" xfId="6" applyFont="1" applyBorder="1"/>
    <xf numFmtId="0" fontId="7" fillId="5" borderId="0" xfId="6" applyFont="1" applyBorder="1" applyAlignment="1">
      <alignment horizontal="left"/>
    </xf>
    <xf numFmtId="0" fontId="3" fillId="4" borderId="2" xfId="4" applyFont="1" applyFill="1" applyBorder="1"/>
    <xf numFmtId="0" fontId="3" fillId="4" borderId="2" xfId="4" applyFont="1" applyFill="1" applyBorder="1" applyAlignment="1">
      <alignment horizontal="left"/>
    </xf>
    <xf numFmtId="0" fontId="3" fillId="4" borderId="0" xfId="4" applyFont="1" applyFill="1" applyBorder="1"/>
    <xf numFmtId="0" fontId="3" fillId="4" borderId="6" xfId="4" applyFont="1" applyFill="1" applyBorder="1" applyAlignment="1" applyProtection="1">
      <alignment horizontal="left"/>
    </xf>
    <xf numFmtId="0" fontId="9" fillId="4" borderId="0" xfId="4" applyFont="1" applyFill="1" applyBorder="1" applyAlignment="1">
      <alignment horizontal="right"/>
    </xf>
    <xf numFmtId="0" fontId="3" fillId="4" borderId="0" xfId="4" applyFont="1" applyFill="1" applyBorder="1" applyAlignment="1">
      <alignment horizontal="left"/>
    </xf>
    <xf numFmtId="0" fontId="3" fillId="4" borderId="0" xfId="4" applyFont="1" applyFill="1"/>
    <xf numFmtId="0" fontId="3" fillId="4" borderId="0" xfId="4" applyNumberFormat="1" applyFont="1" applyFill="1" applyBorder="1" applyAlignment="1">
      <alignment horizontal="left"/>
    </xf>
    <xf numFmtId="44" fontId="11" fillId="2" borderId="1" xfId="7" applyNumberFormat="1" applyFont="1" applyAlignment="1" applyProtection="1">
      <alignment horizontal="right"/>
      <protection locked="0"/>
    </xf>
    <xf numFmtId="0" fontId="3" fillId="4" borderId="2" xfId="4" applyFont="1" applyFill="1" applyBorder="1" applyAlignment="1">
      <alignment horizontal="right"/>
    </xf>
    <xf numFmtId="0" fontId="3" fillId="4" borderId="9" xfId="4" applyFont="1" applyFill="1" applyBorder="1" applyAlignment="1">
      <alignment horizontal="left"/>
    </xf>
    <xf numFmtId="44" fontId="13" fillId="3" borderId="1" xfId="8" applyNumberFormat="1" applyFont="1" applyAlignment="1">
      <alignment horizontal="right"/>
    </xf>
    <xf numFmtId="14" fontId="11" fillId="2" borderId="1" xfId="7" applyNumberFormat="1" applyFont="1" applyAlignment="1" applyProtection="1">
      <alignment horizontal="right"/>
      <protection locked="0"/>
    </xf>
    <xf numFmtId="0" fontId="3" fillId="4" borderId="0" xfId="4" applyFont="1" applyFill="1" applyBorder="1" applyAlignment="1">
      <alignment horizontal="right"/>
    </xf>
    <xf numFmtId="0" fontId="3" fillId="4" borderId="10" xfId="4" applyFont="1" applyFill="1" applyBorder="1" applyAlignment="1">
      <alignment horizontal="left"/>
    </xf>
    <xf numFmtId="166" fontId="11" fillId="2" borderId="1" xfId="7" applyNumberFormat="1" applyFont="1" applyAlignment="1" applyProtection="1">
      <alignment horizontal="right"/>
      <protection locked="0"/>
    </xf>
    <xf numFmtId="166" fontId="13" fillId="3" borderId="1" xfId="8" applyNumberFormat="1" applyFont="1" applyAlignment="1">
      <alignment horizontal="right"/>
    </xf>
    <xf numFmtId="167" fontId="11" fillId="2" borderId="1" xfId="7" applyNumberFormat="1" applyFont="1" applyAlignment="1" applyProtection="1">
      <alignment horizontal="right"/>
      <protection locked="0"/>
    </xf>
    <xf numFmtId="0" fontId="3" fillId="0" borderId="0" xfId="4" applyFont="1" applyAlignment="1"/>
    <xf numFmtId="0" fontId="14" fillId="4" borderId="0" xfId="4" applyFont="1" applyFill="1" applyBorder="1" applyAlignment="1"/>
    <xf numFmtId="0" fontId="3" fillId="4" borderId="10" xfId="4" applyFont="1" applyFill="1" applyBorder="1" applyAlignment="1">
      <alignment horizontal="right"/>
    </xf>
    <xf numFmtId="0" fontId="3" fillId="4" borderId="9" xfId="4" applyFont="1" applyFill="1" applyBorder="1" applyAlignment="1">
      <alignment horizontal="right"/>
    </xf>
    <xf numFmtId="0" fontId="3" fillId="0" borderId="10" xfId="4" applyFont="1" applyBorder="1" applyAlignment="1">
      <alignment horizontal="right"/>
    </xf>
    <xf numFmtId="9" fontId="0" fillId="0" borderId="14" xfId="1" applyNumberFormat="1" applyFont="1" applyBorder="1"/>
    <xf numFmtId="164" fontId="0" fillId="0" borderId="14" xfId="1" applyNumberFormat="1" applyFont="1" applyBorder="1"/>
    <xf numFmtId="165" fontId="0" fillId="0" borderId="14" xfId="2" applyNumberFormat="1" applyFont="1" applyBorder="1"/>
    <xf numFmtId="9" fontId="0" fillId="0" borderId="14" xfId="3" applyFont="1" applyBorder="1"/>
    <xf numFmtId="9" fontId="0" fillId="0" borderId="14" xfId="0" applyNumberFormat="1" applyBorder="1"/>
    <xf numFmtId="0" fontId="0" fillId="0" borderId="14" xfId="0" applyBorder="1"/>
    <xf numFmtId="43" fontId="0" fillId="0" borderId="14" xfId="1" applyFont="1" applyFill="1" applyBorder="1" applyAlignment="1">
      <alignment horizontal="left"/>
    </xf>
    <xf numFmtId="44" fontId="0" fillId="0" borderId="0" xfId="0" applyNumberFormat="1" applyBorder="1" applyAlignment="1">
      <alignment horizontal="left" indent="2"/>
    </xf>
    <xf numFmtId="43" fontId="0" fillId="0" borderId="14" xfId="1" applyFont="1" applyBorder="1" applyAlignment="1">
      <alignment horizontal="left"/>
    </xf>
    <xf numFmtId="44" fontId="0" fillId="0" borderId="0" xfId="0" applyNumberFormat="1" applyBorder="1"/>
    <xf numFmtId="0" fontId="2" fillId="0" borderId="0" xfId="1" quotePrefix="1" applyNumberFormat="1" applyFont="1" applyBorder="1" applyAlignment="1">
      <alignment horizontal="center" vertical="center"/>
    </xf>
    <xf numFmtId="0" fontId="2" fillId="0" borderId="0" xfId="1" quotePrefix="1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3" fontId="0" fillId="0" borderId="15" xfId="1" applyFont="1" applyBorder="1" applyAlignment="1">
      <alignment vertical="top"/>
    </xf>
    <xf numFmtId="43" fontId="0" fillId="0" borderId="0" xfId="1" applyFont="1" applyBorder="1" applyAlignment="1">
      <alignment horizontal="left" indent="3"/>
    </xf>
    <xf numFmtId="164" fontId="0" fillId="0" borderId="0" xfId="3" applyNumberFormat="1" applyFont="1" applyBorder="1"/>
    <xf numFmtId="164" fontId="0" fillId="0" borderId="16" xfId="1" applyNumberFormat="1" applyFont="1" applyBorder="1"/>
    <xf numFmtId="165" fontId="0" fillId="0" borderId="16" xfId="0" applyNumberFormat="1" applyBorder="1"/>
    <xf numFmtId="164" fontId="0" fillId="0" borderId="17" xfId="1" applyNumberFormat="1" applyFont="1" applyBorder="1"/>
    <xf numFmtId="43" fontId="0" fillId="0" borderId="14" xfId="1" applyFont="1" applyBorder="1"/>
    <xf numFmtId="43" fontId="0" fillId="0" borderId="14" xfId="1" applyFont="1" applyBorder="1" applyAlignment="1">
      <alignment horizontal="left" indent="1"/>
    </xf>
    <xf numFmtId="43" fontId="0" fillId="0" borderId="14" xfId="1" applyFont="1" applyBorder="1" applyAlignment="1">
      <alignment horizontal="left" indent="2"/>
    </xf>
    <xf numFmtId="164" fontId="0" fillId="0" borderId="14" xfId="1" applyNumberFormat="1" applyFont="1" applyFill="1" applyBorder="1"/>
    <xf numFmtId="43" fontId="0" fillId="0" borderId="14" xfId="1" applyFont="1" applyBorder="1" applyAlignment="1">
      <alignment horizontal="left" indent="3"/>
    </xf>
    <xf numFmtId="165" fontId="0" fillId="0" borderId="14" xfId="3" applyNumberFormat="1" applyFont="1" applyBorder="1"/>
    <xf numFmtId="164" fontId="15" fillId="6" borderId="14" xfId="1" applyNumberFormat="1" applyFont="1" applyFill="1" applyBorder="1" applyAlignment="1" applyProtection="1"/>
    <xf numFmtId="169" fontId="15" fillId="6" borderId="23" xfId="1" applyNumberFormat="1" applyFont="1" applyFill="1" applyBorder="1"/>
    <xf numFmtId="169" fontId="15" fillId="0" borderId="31" xfId="1" applyNumberFormat="1" applyFont="1" applyBorder="1"/>
    <xf numFmtId="10" fontId="4" fillId="6" borderId="23" xfId="3" applyNumberFormat="1" applyFont="1" applyFill="1" applyBorder="1"/>
    <xf numFmtId="10" fontId="4" fillId="6" borderId="31" xfId="3" applyNumberFormat="1" applyFont="1" applyFill="1" applyBorder="1"/>
    <xf numFmtId="9" fontId="4" fillId="6" borderId="20" xfId="3" applyFont="1" applyFill="1" applyBorder="1"/>
    <xf numFmtId="9" fontId="4" fillId="8" borderId="35" xfId="3" applyFont="1" applyFill="1" applyBorder="1"/>
    <xf numFmtId="0" fontId="17" fillId="0" borderId="18" xfId="0" applyFont="1" applyBorder="1"/>
    <xf numFmtId="0" fontId="17" fillId="0" borderId="20" xfId="0" applyFont="1" applyBorder="1"/>
    <xf numFmtId="0" fontId="17" fillId="0" borderId="0" xfId="0" applyFont="1"/>
    <xf numFmtId="0" fontId="17" fillId="0" borderId="22" xfId="0" applyFont="1" applyBorder="1"/>
    <xf numFmtId="10" fontId="17" fillId="0" borderId="24" xfId="3" applyNumberFormat="1" applyFont="1" applyBorder="1"/>
    <xf numFmtId="164" fontId="17" fillId="6" borderId="23" xfId="0" applyNumberFormat="1" applyFont="1" applyFill="1" applyBorder="1"/>
    <xf numFmtId="164" fontId="17" fillId="0" borderId="0" xfId="1" applyNumberFormat="1" applyFont="1"/>
    <xf numFmtId="0" fontId="17" fillId="0" borderId="25" xfId="0" applyFont="1" applyBorder="1"/>
    <xf numFmtId="0" fontId="17" fillId="0" borderId="27" xfId="0" applyFont="1" applyBorder="1"/>
    <xf numFmtId="164" fontId="17" fillId="0" borderId="28" xfId="1" applyNumberFormat="1" applyFont="1" applyBorder="1"/>
    <xf numFmtId="10" fontId="17" fillId="0" borderId="30" xfId="3" applyNumberFormat="1" applyFont="1" applyBorder="1"/>
    <xf numFmtId="0" fontId="17" fillId="0" borderId="32" xfId="0" applyFont="1" applyBorder="1"/>
    <xf numFmtId="10" fontId="17" fillId="0" borderId="20" xfId="3" applyNumberFormat="1" applyFont="1" applyBorder="1"/>
    <xf numFmtId="10" fontId="17" fillId="0" borderId="23" xfId="3" applyNumberFormat="1" applyFont="1" applyBorder="1"/>
    <xf numFmtId="10" fontId="17" fillId="0" borderId="31" xfId="3" applyNumberFormat="1" applyFont="1" applyBorder="1"/>
    <xf numFmtId="10" fontId="17" fillId="0" borderId="22" xfId="0" applyNumberFormat="1" applyFont="1" applyBorder="1"/>
    <xf numFmtId="10" fontId="17" fillId="0" borderId="29" xfId="3" applyNumberFormat="1" applyFont="1" applyBorder="1"/>
    <xf numFmtId="0" fontId="17" fillId="0" borderId="34" xfId="0" applyFont="1" applyBorder="1"/>
    <xf numFmtId="10" fontId="17" fillId="0" borderId="35" xfId="3" applyNumberFormat="1" applyFont="1" applyBorder="1"/>
    <xf numFmtId="164" fontId="17" fillId="0" borderId="33" xfId="1" applyNumberFormat="1" applyFont="1" applyBorder="1"/>
    <xf numFmtId="164" fontId="17" fillId="0" borderId="23" xfId="1" applyNumberFormat="1" applyFont="1" applyBorder="1"/>
    <xf numFmtId="10" fontId="17" fillId="0" borderId="0" xfId="0" applyNumberFormat="1" applyFont="1"/>
    <xf numFmtId="164" fontId="17" fillId="0" borderId="35" xfId="1" applyNumberFormat="1" applyFont="1" applyBorder="1"/>
    <xf numFmtId="9" fontId="17" fillId="0" borderId="0" xfId="3" applyFont="1"/>
    <xf numFmtId="0" fontId="17" fillId="0" borderId="19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5" fillId="0" borderId="23" xfId="1" applyNumberFormat="1" applyFont="1" applyFill="1" applyBorder="1"/>
    <xf numFmtId="9" fontId="0" fillId="9" borderId="14" xfId="3" applyFont="1" applyFill="1" applyBorder="1"/>
    <xf numFmtId="164" fontId="0" fillId="0" borderId="0" xfId="1" applyNumberFormat="1" applyFont="1" applyFill="1" applyBorder="1"/>
    <xf numFmtId="0" fontId="0" fillId="0" borderId="0" xfId="1" applyNumberFormat="1" applyFont="1" applyFill="1" applyBorder="1"/>
    <xf numFmtId="0" fontId="18" fillId="0" borderId="0" xfId="9"/>
    <xf numFmtId="170" fontId="18" fillId="0" borderId="0" xfId="9" applyNumberFormat="1"/>
    <xf numFmtId="0" fontId="18" fillId="0" borderId="0" xfId="9" applyBorder="1"/>
    <xf numFmtId="10" fontId="18" fillId="0" borderId="0" xfId="3" applyNumberFormat="1" applyFont="1"/>
    <xf numFmtId="164" fontId="18" fillId="0" borderId="0" xfId="1" applyNumberFormat="1" applyFont="1"/>
    <xf numFmtId="164" fontId="18" fillId="0" borderId="0" xfId="1" applyNumberFormat="1" applyFont="1" applyBorder="1"/>
    <xf numFmtId="165" fontId="18" fillId="0" borderId="0" xfId="2" applyNumberFormat="1" applyFont="1"/>
    <xf numFmtId="9" fontId="0" fillId="0" borderId="17" xfId="3" applyFont="1" applyBorder="1"/>
    <xf numFmtId="9" fontId="0" fillId="0" borderId="16" xfId="3" applyFont="1" applyBorder="1"/>
    <xf numFmtId="10" fontId="17" fillId="0" borderId="0" xfId="3" applyNumberFormat="1" applyFont="1"/>
    <xf numFmtId="10" fontId="17" fillId="0" borderId="0" xfId="3" applyNumberFormat="1" applyFont="1" applyBorder="1"/>
    <xf numFmtId="164" fontId="17" fillId="0" borderId="0" xfId="1" applyNumberFormat="1" applyFont="1" applyBorder="1"/>
    <xf numFmtId="168" fontId="4" fillId="6" borderId="20" xfId="1" applyNumberFormat="1" applyFont="1" applyFill="1" applyBorder="1"/>
    <xf numFmtId="0" fontId="16" fillId="7" borderId="36" xfId="0" applyFont="1" applyFill="1" applyBorder="1"/>
    <xf numFmtId="10" fontId="16" fillId="7" borderId="37" xfId="3" applyNumberFormat="1" applyFont="1" applyFill="1" applyBorder="1"/>
    <xf numFmtId="168" fontId="16" fillId="7" borderId="37" xfId="1" applyNumberFormat="1" applyFont="1" applyFill="1" applyBorder="1"/>
    <xf numFmtId="0" fontId="16" fillId="7" borderId="38" xfId="0" applyFont="1" applyFill="1" applyBorder="1"/>
    <xf numFmtId="168" fontId="16" fillId="7" borderId="39" xfId="1" applyNumberFormat="1" applyFont="1" applyFill="1" applyBorder="1"/>
    <xf numFmtId="2" fontId="0" fillId="0" borderId="0" xfId="0" applyNumberFormat="1" applyBorder="1"/>
    <xf numFmtId="43" fontId="0" fillId="0" borderId="0" xfId="1" applyFont="1" applyFill="1" applyBorder="1"/>
    <xf numFmtId="10" fontId="0" fillId="0" borderId="0" xfId="3" applyNumberFormat="1" applyFont="1" applyBorder="1"/>
    <xf numFmtId="9" fontId="4" fillId="0" borderId="0" xfId="3" applyFont="1" applyFill="1" applyBorder="1"/>
    <xf numFmtId="10" fontId="16" fillId="0" borderId="0" xfId="3" applyNumberFormat="1" applyFont="1" applyFill="1" applyBorder="1"/>
    <xf numFmtId="0" fontId="17" fillId="0" borderId="0" xfId="0" applyFont="1" applyFill="1" applyBorder="1" applyAlignment="1"/>
    <xf numFmtId="0" fontId="17" fillId="0" borderId="0" xfId="0" applyFont="1" applyFill="1"/>
    <xf numFmtId="0" fontId="4" fillId="0" borderId="14" xfId="0" applyFont="1" applyFill="1" applyBorder="1"/>
    <xf numFmtId="43" fontId="4" fillId="0" borderId="14" xfId="1" applyFont="1" applyFill="1" applyBorder="1"/>
    <xf numFmtId="10" fontId="4" fillId="0" borderId="14" xfId="3" applyNumberFormat="1" applyFont="1" applyFill="1" applyBorder="1"/>
    <xf numFmtId="168" fontId="20" fillId="0" borderId="14" xfId="1" applyNumberFormat="1" applyFont="1" applyFill="1" applyBorder="1"/>
    <xf numFmtId="0" fontId="4" fillId="0" borderId="18" xfId="0" applyFont="1" applyFill="1" applyBorder="1"/>
    <xf numFmtId="168" fontId="4" fillId="0" borderId="19" xfId="1" applyNumberFormat="1" applyFont="1" applyFill="1" applyBorder="1"/>
    <xf numFmtId="0" fontId="4" fillId="0" borderId="19" xfId="0" applyFont="1" applyFill="1" applyBorder="1"/>
    <xf numFmtId="0" fontId="4" fillId="0" borderId="20" xfId="0" applyFont="1" applyFill="1" applyBorder="1"/>
    <xf numFmtId="0" fontId="4" fillId="0" borderId="22" xfId="0" applyFont="1" applyFill="1" applyBorder="1"/>
    <xf numFmtId="164" fontId="4" fillId="0" borderId="23" xfId="1" applyNumberFormat="1" applyFont="1" applyFill="1" applyBorder="1"/>
    <xf numFmtId="10" fontId="4" fillId="0" borderId="23" xfId="3" applyNumberFormat="1" applyFont="1" applyFill="1" applyBorder="1"/>
    <xf numFmtId="168" fontId="20" fillId="0" borderId="23" xfId="1" applyNumberFormat="1" applyFont="1" applyFill="1" applyBorder="1"/>
    <xf numFmtId="0" fontId="4" fillId="0" borderId="25" xfId="0" applyFont="1" applyFill="1" applyBorder="1"/>
    <xf numFmtId="168" fontId="20" fillId="0" borderId="26" xfId="1" applyNumberFormat="1" applyFont="1" applyFill="1" applyBorder="1"/>
    <xf numFmtId="168" fontId="20" fillId="0" borderId="31" xfId="1" applyNumberFormat="1" applyFont="1" applyFill="1" applyBorder="1"/>
    <xf numFmtId="168" fontId="21" fillId="7" borderId="0" xfId="0" applyNumberFormat="1" applyFont="1" applyFill="1"/>
    <xf numFmtId="9" fontId="2" fillId="0" borderId="0" xfId="3" quotePrefix="1" applyFont="1" applyBorder="1" applyAlignment="1">
      <alignment horizontal="center" vertical="center"/>
    </xf>
    <xf numFmtId="0" fontId="19" fillId="0" borderId="0" xfId="0" applyFont="1" applyBorder="1" applyAlignment="1"/>
    <xf numFmtId="164" fontId="17" fillId="0" borderId="0" xfId="1" applyNumberFormat="1" applyFont="1" applyAlignment="1">
      <alignment horizontal="center"/>
    </xf>
    <xf numFmtId="0" fontId="17" fillId="0" borderId="0" xfId="1" applyNumberFormat="1" applyFont="1"/>
    <xf numFmtId="0" fontId="17" fillId="0" borderId="0" xfId="0" applyFont="1" applyAlignment="1">
      <alignment horizontal="center"/>
    </xf>
    <xf numFmtId="0" fontId="3" fillId="4" borderId="8" xfId="4" applyFont="1" applyFill="1" applyBorder="1" applyAlignment="1" applyProtection="1">
      <alignment horizontal="left"/>
      <protection locked="0"/>
    </xf>
    <xf numFmtId="0" fontId="3" fillId="4" borderId="7" xfId="4" applyFont="1" applyFill="1" applyBorder="1" applyAlignment="1" applyProtection="1">
      <alignment horizontal="left"/>
      <protection locked="0"/>
    </xf>
    <xf numFmtId="0" fontId="8" fillId="5" borderId="13" xfId="6" applyFont="1" applyBorder="1" applyAlignment="1">
      <alignment horizontal="right"/>
    </xf>
    <xf numFmtId="0" fontId="8" fillId="5" borderId="12" xfId="6" applyFont="1" applyBorder="1" applyAlignment="1">
      <alignment horizontal="right"/>
    </xf>
    <xf numFmtId="0" fontId="8" fillId="5" borderId="11" xfId="6" applyFont="1" applyBorder="1" applyAlignment="1">
      <alignment horizontal="right"/>
    </xf>
    <xf numFmtId="0" fontId="8" fillId="5" borderId="8" xfId="6" applyFont="1" applyBorder="1" applyAlignment="1">
      <alignment horizontal="center"/>
    </xf>
    <xf numFmtId="0" fontId="8" fillId="5" borderId="7" xfId="6" applyFont="1" applyBorder="1" applyAlignment="1">
      <alignment horizontal="center"/>
    </xf>
    <xf numFmtId="0" fontId="19" fillId="0" borderId="40" xfId="0" applyFont="1" applyBorder="1" applyAlignment="1">
      <alignment horizontal="center"/>
    </xf>
  </cellXfs>
  <cellStyles count="10">
    <cellStyle name="20% - Accent3 2" xfId="6"/>
    <cellStyle name="Calculation 2" xfId="8"/>
    <cellStyle name="Comma" xfId="1" builtinId="3"/>
    <cellStyle name="Currency" xfId="2" builtinId="4"/>
    <cellStyle name="Currency 2" xfId="5"/>
    <cellStyle name="Excel Built-in Normal" xfId="9"/>
    <cellStyle name="Input 2" xfId="7"/>
    <cellStyle name="Normal" xfId="0" builtinId="0"/>
    <cellStyle name="Normal 2" xfId="4"/>
    <cellStyle name="Percent" xfId="3" builtinId="5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zoomScale="75" zoomScaleNormal="75" workbookViewId="0">
      <selection activeCell="H56" sqref="H56"/>
    </sheetView>
  </sheetViews>
  <sheetFormatPr defaultColWidth="9.140625" defaultRowHeight="15" outlineLevelCol="1" x14ac:dyDescent="0.25"/>
  <cols>
    <col min="1" max="1" width="38.85546875" style="1" customWidth="1" outlineLevel="1"/>
    <col min="2" max="2" width="0.140625" style="1" customWidth="1" outlineLevel="1"/>
    <col min="3" max="3" width="14" style="5" customWidth="1" outlineLevel="1"/>
    <col min="4" max="4" width="14.85546875" style="4" customWidth="1" outlineLevel="1"/>
    <col min="5" max="5" width="13.85546875" style="5" customWidth="1" outlineLevel="1"/>
    <col min="6" max="6" width="8.42578125" style="4" customWidth="1" outlineLevel="1"/>
    <col min="7" max="7" width="0.140625" style="5" customWidth="1" outlineLevel="1"/>
    <col min="8" max="8" width="39" style="5" bestFit="1" customWidth="1"/>
    <col min="9" max="9" width="11.5703125" style="3" bestFit="1" customWidth="1"/>
    <col min="10" max="10" width="6.42578125" style="4" hidden="1" customWidth="1" outlineLevel="1"/>
    <col min="11" max="11" width="11.5703125" style="5" bestFit="1" customWidth="1" collapsed="1"/>
    <col min="12" max="27" width="11.5703125" style="5" bestFit="1" customWidth="1"/>
    <col min="28" max="16384" width="9.140625" style="5"/>
  </cols>
  <sheetData>
    <row r="1" spans="1:27" x14ac:dyDescent="0.25">
      <c r="A1" s="1" t="s">
        <v>0</v>
      </c>
      <c r="B1" s="2"/>
      <c r="C1" s="3">
        <v>2012</v>
      </c>
      <c r="D1" s="4" t="s">
        <v>52</v>
      </c>
      <c r="E1" s="5" t="s">
        <v>65</v>
      </c>
      <c r="H1" s="6" t="s">
        <v>88</v>
      </c>
      <c r="I1" s="76">
        <v>2013</v>
      </c>
      <c r="J1" s="169">
        <v>2013</v>
      </c>
      <c r="K1" s="76">
        <v>2014</v>
      </c>
      <c r="L1" s="76">
        <v>2015</v>
      </c>
      <c r="M1" s="76">
        <v>2016</v>
      </c>
      <c r="N1" s="76">
        <v>2017</v>
      </c>
      <c r="O1" s="76">
        <v>2018</v>
      </c>
      <c r="P1" s="76">
        <v>2019</v>
      </c>
      <c r="Q1" s="76">
        <v>2020</v>
      </c>
      <c r="R1" s="76">
        <v>2021</v>
      </c>
      <c r="S1" s="76">
        <v>2022</v>
      </c>
      <c r="T1" s="76">
        <v>2023</v>
      </c>
      <c r="U1" s="76">
        <v>2024</v>
      </c>
      <c r="V1" s="76">
        <v>2025</v>
      </c>
      <c r="W1" s="76">
        <v>2026</v>
      </c>
      <c r="X1" s="76">
        <v>2027</v>
      </c>
      <c r="Y1" s="76">
        <v>2028</v>
      </c>
      <c r="Z1" s="76">
        <v>2029</v>
      </c>
      <c r="AA1" s="76">
        <v>2030</v>
      </c>
    </row>
    <row r="2" spans="1:27" x14ac:dyDescent="0.25">
      <c r="A2" s="8" t="s">
        <v>49</v>
      </c>
      <c r="B2" s="2"/>
      <c r="C2" s="3"/>
      <c r="H2" s="1"/>
      <c r="I2" s="9"/>
      <c r="J2" s="10"/>
      <c r="K2" s="11"/>
      <c r="L2" s="12"/>
    </row>
    <row r="3" spans="1:27" x14ac:dyDescent="0.25">
      <c r="A3" s="13" t="s">
        <v>50</v>
      </c>
      <c r="B3" s="2"/>
      <c r="C3" s="3">
        <v>35</v>
      </c>
      <c r="D3" s="14">
        <v>1200</v>
      </c>
      <c r="E3" s="1">
        <v>500</v>
      </c>
      <c r="H3" s="16" t="s">
        <v>1</v>
      </c>
    </row>
    <row r="4" spans="1:27" x14ac:dyDescent="0.25">
      <c r="A4" s="73" t="s">
        <v>60</v>
      </c>
      <c r="B4" s="5"/>
      <c r="C4" s="5">
        <v>2</v>
      </c>
      <c r="D4" s="14"/>
      <c r="E4" s="1"/>
      <c r="H4" s="17" t="s">
        <v>53</v>
      </c>
      <c r="K4" s="18"/>
      <c r="L4" s="4"/>
    </row>
    <row r="5" spans="1:27" x14ac:dyDescent="0.25">
      <c r="A5" s="13" t="s">
        <v>51</v>
      </c>
      <c r="B5" s="2"/>
      <c r="C5" s="3">
        <v>41</v>
      </c>
      <c r="D5" s="14">
        <v>50</v>
      </c>
      <c r="E5" s="15">
        <v>0.2</v>
      </c>
      <c r="H5" s="20" t="s">
        <v>49</v>
      </c>
      <c r="I5" s="3">
        <f>E8+D8+C8</f>
        <v>210000</v>
      </c>
      <c r="K5" s="19">
        <f>I5*1.03</f>
        <v>216300</v>
      </c>
      <c r="L5" s="19">
        <f>K5*1.03</f>
        <v>222789</v>
      </c>
      <c r="M5" s="19">
        <f>L5*1.03</f>
        <v>229472.67</v>
      </c>
      <c r="N5" s="19">
        <f t="shared" ref="N5:AA5" si="0">M5*1.03</f>
        <v>236356.85010000001</v>
      </c>
      <c r="O5" s="19">
        <f t="shared" si="0"/>
        <v>243447.55560300002</v>
      </c>
      <c r="P5" s="19">
        <f t="shared" si="0"/>
        <v>250750.98227109003</v>
      </c>
      <c r="Q5" s="19">
        <f t="shared" si="0"/>
        <v>258273.51173922274</v>
      </c>
      <c r="R5" s="19">
        <f t="shared" si="0"/>
        <v>266021.71709139942</v>
      </c>
      <c r="S5" s="19">
        <f t="shared" si="0"/>
        <v>274002.3686041414</v>
      </c>
      <c r="T5" s="19">
        <f t="shared" si="0"/>
        <v>282222.43966226565</v>
      </c>
      <c r="U5" s="19">
        <f t="shared" si="0"/>
        <v>290689.11285213364</v>
      </c>
      <c r="V5" s="19">
        <f t="shared" si="0"/>
        <v>299409.78623769764</v>
      </c>
      <c r="W5" s="19">
        <f t="shared" si="0"/>
        <v>308392.0798248286</v>
      </c>
      <c r="X5" s="19">
        <f t="shared" si="0"/>
        <v>317643.84221957345</v>
      </c>
      <c r="Y5" s="19">
        <f t="shared" si="0"/>
        <v>327173.15748616064</v>
      </c>
      <c r="Z5" s="19">
        <f t="shared" si="0"/>
        <v>336988.35221074545</v>
      </c>
      <c r="AA5" s="19">
        <f t="shared" si="0"/>
        <v>347098.00277706783</v>
      </c>
    </row>
    <row r="6" spans="1:27" x14ac:dyDescent="0.25">
      <c r="A6" s="71"/>
      <c r="B6" s="66"/>
      <c r="C6" s="67" t="s">
        <v>56</v>
      </c>
      <c r="D6" s="68" t="s">
        <v>57</v>
      </c>
      <c r="E6" s="70" t="s">
        <v>58</v>
      </c>
      <c r="F6" s="69" t="s">
        <v>64</v>
      </c>
      <c r="H6" s="20" t="s">
        <v>54</v>
      </c>
      <c r="I6" s="82">
        <f>C10+D10+E10</f>
        <v>5535</v>
      </c>
      <c r="K6" s="83">
        <f>I6*1.03</f>
        <v>5701.05</v>
      </c>
      <c r="L6" s="83">
        <f>K6*1.03</f>
        <v>5872.0815000000002</v>
      </c>
      <c r="M6" s="83">
        <f>L6*1.03</f>
        <v>6048.2439450000002</v>
      </c>
      <c r="N6" s="83">
        <f t="shared" ref="N6:AA6" si="1">M6*1.03</f>
        <v>6229.6912633500006</v>
      </c>
      <c r="O6" s="83">
        <f t="shared" si="1"/>
        <v>6416.582001250501</v>
      </c>
      <c r="P6" s="83">
        <f t="shared" si="1"/>
        <v>6609.0794612880163</v>
      </c>
      <c r="Q6" s="83">
        <f t="shared" si="1"/>
        <v>6807.3518451266573</v>
      </c>
      <c r="R6" s="83">
        <f t="shared" si="1"/>
        <v>7011.572400480457</v>
      </c>
      <c r="S6" s="83">
        <f t="shared" si="1"/>
        <v>7221.9195724948704</v>
      </c>
      <c r="T6" s="83">
        <f t="shared" si="1"/>
        <v>7438.5771596697168</v>
      </c>
      <c r="U6" s="83">
        <f t="shared" si="1"/>
        <v>7661.7344744598086</v>
      </c>
      <c r="V6" s="83">
        <f t="shared" si="1"/>
        <v>7891.5865086936028</v>
      </c>
      <c r="W6" s="83">
        <f t="shared" si="1"/>
        <v>8128.3341039544111</v>
      </c>
      <c r="X6" s="83">
        <f t="shared" si="1"/>
        <v>8372.1841270730438</v>
      </c>
      <c r="Y6" s="83">
        <f t="shared" si="1"/>
        <v>8623.349650885235</v>
      </c>
      <c r="Z6" s="83">
        <f t="shared" si="1"/>
        <v>8882.0501404117931</v>
      </c>
      <c r="AA6" s="83">
        <f t="shared" si="1"/>
        <v>9148.5116446241464</v>
      </c>
    </row>
    <row r="7" spans="1:27" x14ac:dyDescent="0.25">
      <c r="A7" s="79" t="s">
        <v>59</v>
      </c>
      <c r="B7" s="66"/>
      <c r="C7" s="125">
        <v>1</v>
      </c>
      <c r="D7" s="125">
        <v>1</v>
      </c>
      <c r="E7" s="125">
        <v>0.5</v>
      </c>
      <c r="F7" s="125">
        <v>0.1</v>
      </c>
      <c r="H7" s="20" t="s">
        <v>55</v>
      </c>
      <c r="I7" s="3">
        <f>SUM(I5:I6)</f>
        <v>215535</v>
      </c>
      <c r="J7" s="4">
        <f t="shared" ref="J7:J22" si="2">I7/$I$7</f>
        <v>1</v>
      </c>
      <c r="K7" s="19">
        <f>SUM(K5:K6)</f>
        <v>222001.05</v>
      </c>
      <c r="L7" s="19">
        <f t="shared" ref="L7:M7" si="3">SUM(L5:L6)</f>
        <v>228661.0815</v>
      </c>
      <c r="M7" s="19">
        <f t="shared" si="3"/>
        <v>235520.91394500001</v>
      </c>
      <c r="N7" s="19">
        <f t="shared" ref="N7:AA7" si="4">SUM(N5:N6)</f>
        <v>242586.54136335</v>
      </c>
      <c r="O7" s="19">
        <f t="shared" si="4"/>
        <v>249864.13760425051</v>
      </c>
      <c r="P7" s="19">
        <f t="shared" si="4"/>
        <v>257360.06173237806</v>
      </c>
      <c r="Q7" s="19">
        <f t="shared" si="4"/>
        <v>265080.8635843494</v>
      </c>
      <c r="R7" s="19">
        <f t="shared" si="4"/>
        <v>273033.28949187987</v>
      </c>
      <c r="S7" s="19">
        <f t="shared" si="4"/>
        <v>281224.28817663627</v>
      </c>
      <c r="T7" s="19">
        <f t="shared" si="4"/>
        <v>289661.01682193537</v>
      </c>
      <c r="U7" s="19">
        <f t="shared" si="4"/>
        <v>298350.84732659347</v>
      </c>
      <c r="V7" s="19">
        <f t="shared" si="4"/>
        <v>307301.37274639122</v>
      </c>
      <c r="W7" s="19">
        <f t="shared" si="4"/>
        <v>316520.41392878303</v>
      </c>
      <c r="X7" s="19">
        <f t="shared" si="4"/>
        <v>326016.02634664648</v>
      </c>
      <c r="Y7" s="19">
        <f t="shared" si="4"/>
        <v>335796.50713704585</v>
      </c>
      <c r="Z7" s="19">
        <f t="shared" si="4"/>
        <v>345870.40235115722</v>
      </c>
      <c r="AA7" s="19">
        <f t="shared" si="4"/>
        <v>356246.514421692</v>
      </c>
    </row>
    <row r="8" spans="1:27" x14ac:dyDescent="0.25">
      <c r="A8" s="72" t="s">
        <v>62</v>
      </c>
      <c r="B8" s="71"/>
      <c r="C8" s="67">
        <f>C7*$C$3*$D$3*$C$4</f>
        <v>84000</v>
      </c>
      <c r="D8" s="67">
        <f>D7*$C$3*$D$3*$C$4</f>
        <v>84000</v>
      </c>
      <c r="E8" s="67">
        <f>E7*$C$3*$D$3*$C$4</f>
        <v>42000</v>
      </c>
      <c r="F8" s="67">
        <f>C3*E3*C4*F7</f>
        <v>3500</v>
      </c>
      <c r="H8" s="17" t="s">
        <v>2</v>
      </c>
      <c r="I8" s="3">
        <f>$C$14</f>
        <v>3714</v>
      </c>
      <c r="J8" s="4">
        <f t="shared" si="2"/>
        <v>1.723154012109402E-2</v>
      </c>
      <c r="K8" s="3">
        <f t="shared" ref="K8:T9" si="5">$J8*K$7</f>
        <v>3825.4199999999996</v>
      </c>
      <c r="L8" s="3">
        <f t="shared" si="5"/>
        <v>3940.1825999999996</v>
      </c>
      <c r="M8" s="3">
        <f t="shared" si="5"/>
        <v>4058.388078</v>
      </c>
      <c r="N8" s="3">
        <f t="shared" si="5"/>
        <v>4180.1397203399993</v>
      </c>
      <c r="O8" s="3">
        <f t="shared" si="5"/>
        <v>4305.5439119501998</v>
      </c>
      <c r="P8" s="3">
        <f t="shared" si="5"/>
        <v>4434.7102293087064</v>
      </c>
      <c r="Q8" s="3">
        <f t="shared" si="5"/>
        <v>4567.7515361879678</v>
      </c>
      <c r="R8" s="3">
        <f t="shared" si="5"/>
        <v>4704.7840822736061</v>
      </c>
      <c r="S8" s="3">
        <f t="shared" si="5"/>
        <v>4845.9276047418143</v>
      </c>
      <c r="T8" s="3">
        <f t="shared" si="5"/>
        <v>4991.305432884069</v>
      </c>
      <c r="U8" s="3">
        <f t="shared" ref="U8:AA9" si="6">$J8*U$7</f>
        <v>5141.0445958705923</v>
      </c>
      <c r="V8" s="3">
        <f t="shared" si="6"/>
        <v>5295.2759337467087</v>
      </c>
      <c r="W8" s="3">
        <f t="shared" si="6"/>
        <v>5454.1342117591112</v>
      </c>
      <c r="X8" s="3">
        <f t="shared" si="6"/>
        <v>5617.7582381118837</v>
      </c>
      <c r="Y8" s="3">
        <f t="shared" si="6"/>
        <v>5786.2909852552402</v>
      </c>
      <c r="Z8" s="3">
        <f t="shared" si="6"/>
        <v>5959.879714812897</v>
      </c>
      <c r="AA8" s="3">
        <f t="shared" si="6"/>
        <v>6138.676106257285</v>
      </c>
    </row>
    <row r="9" spans="1:27" x14ac:dyDescent="0.25">
      <c r="A9" s="79" t="s">
        <v>61</v>
      </c>
      <c r="B9" s="2"/>
      <c r="C9" s="69">
        <v>1</v>
      </c>
      <c r="D9" s="69">
        <v>1</v>
      </c>
      <c r="E9" s="69">
        <v>0.7</v>
      </c>
      <c r="F9" s="69">
        <f>F7</f>
        <v>0.1</v>
      </c>
      <c r="H9" s="17" t="str">
        <f>$A$20</f>
        <v>Amenities</v>
      </c>
      <c r="I9" s="3">
        <f>$F$23</f>
        <v>2877.12</v>
      </c>
      <c r="J9" s="4">
        <f t="shared" si="2"/>
        <v>1.3348736864082399E-2</v>
      </c>
      <c r="K9" s="3">
        <f t="shared" si="5"/>
        <v>2963.4335999999998</v>
      </c>
      <c r="L9" s="3">
        <f t="shared" si="5"/>
        <v>3052.3366080000001</v>
      </c>
      <c r="M9" s="3">
        <f t="shared" si="5"/>
        <v>3143.9067062399999</v>
      </c>
      <c r="N9" s="3">
        <f t="shared" si="5"/>
        <v>3238.2239074271997</v>
      </c>
      <c r="O9" s="3">
        <f t="shared" si="5"/>
        <v>3335.370624650016</v>
      </c>
      <c r="P9" s="3">
        <f t="shared" si="5"/>
        <v>3435.4317433895171</v>
      </c>
      <c r="Q9" s="3">
        <f t="shared" si="5"/>
        <v>3538.4946956912027</v>
      </c>
      <c r="R9" s="3">
        <f t="shared" si="5"/>
        <v>3644.6495365619385</v>
      </c>
      <c r="S9" s="3">
        <f t="shared" si="5"/>
        <v>3753.9890226587968</v>
      </c>
      <c r="T9" s="3">
        <f t="shared" si="5"/>
        <v>3866.6086933385604</v>
      </c>
      <c r="U9" s="3">
        <f t="shared" si="6"/>
        <v>3982.6069541387183</v>
      </c>
      <c r="V9" s="3">
        <f t="shared" si="6"/>
        <v>4102.085162762879</v>
      </c>
      <c r="W9" s="3">
        <f t="shared" si="6"/>
        <v>4225.1477176457665</v>
      </c>
      <c r="X9" s="3">
        <f t="shared" si="6"/>
        <v>4351.9021491751382</v>
      </c>
      <c r="Y9" s="3">
        <f t="shared" si="6"/>
        <v>4482.4592136503925</v>
      </c>
      <c r="Z9" s="3">
        <f t="shared" si="6"/>
        <v>4616.9329900599041</v>
      </c>
      <c r="AA9" s="3">
        <f t="shared" si="6"/>
        <v>4755.4409797617018</v>
      </c>
    </row>
    <row r="10" spans="1:27" x14ac:dyDescent="0.25">
      <c r="A10" s="74" t="s">
        <v>63</v>
      </c>
      <c r="B10" s="2"/>
      <c r="C10" s="67">
        <f>C9*$C$5*$D$5</f>
        <v>2050</v>
      </c>
      <c r="D10" s="67">
        <f>D9*$C$5*$D$5</f>
        <v>2050</v>
      </c>
      <c r="E10" s="67">
        <f>E9*$C$5*$D$5</f>
        <v>1435</v>
      </c>
      <c r="F10" s="67">
        <f>F9*$C$5*$D$5</f>
        <v>205.00000000000003</v>
      </c>
      <c r="H10" s="17" t="s">
        <v>85</v>
      </c>
      <c r="I10" s="3">
        <f>$C$18</f>
        <v>39963.63636363636</v>
      </c>
      <c r="J10" s="4">
        <f t="shared" si="2"/>
        <v>0.18541599444933007</v>
      </c>
      <c r="K10" s="3">
        <f t="shared" ref="K10:AA10" si="7">$I$10</f>
        <v>39963.63636363636</v>
      </c>
      <c r="L10" s="3">
        <f t="shared" si="7"/>
        <v>39963.63636363636</v>
      </c>
      <c r="M10" s="3">
        <f t="shared" si="7"/>
        <v>39963.63636363636</v>
      </c>
      <c r="N10" s="3">
        <f t="shared" si="7"/>
        <v>39963.63636363636</v>
      </c>
      <c r="O10" s="3">
        <f t="shared" si="7"/>
        <v>39963.63636363636</v>
      </c>
      <c r="P10" s="3">
        <f t="shared" si="7"/>
        <v>39963.63636363636</v>
      </c>
      <c r="Q10" s="3">
        <f t="shared" si="7"/>
        <v>39963.63636363636</v>
      </c>
      <c r="R10" s="3">
        <f t="shared" si="7"/>
        <v>39963.63636363636</v>
      </c>
      <c r="S10" s="3">
        <f t="shared" si="7"/>
        <v>39963.63636363636</v>
      </c>
      <c r="T10" s="3">
        <f t="shared" si="7"/>
        <v>39963.63636363636</v>
      </c>
      <c r="U10" s="3">
        <f t="shared" si="7"/>
        <v>39963.63636363636</v>
      </c>
      <c r="V10" s="3">
        <f t="shared" si="7"/>
        <v>39963.63636363636</v>
      </c>
      <c r="W10" s="3">
        <f t="shared" si="7"/>
        <v>39963.63636363636</v>
      </c>
      <c r="X10" s="3">
        <f t="shared" si="7"/>
        <v>39963.63636363636</v>
      </c>
      <c r="Y10" s="3">
        <f t="shared" si="7"/>
        <v>39963.63636363636</v>
      </c>
      <c r="Z10" s="3">
        <f t="shared" si="7"/>
        <v>39963.63636363636</v>
      </c>
      <c r="AA10" s="3">
        <f t="shared" si="7"/>
        <v>39963.63636363636</v>
      </c>
    </row>
    <row r="11" spans="1:27" x14ac:dyDescent="0.25">
      <c r="A11" s="8" t="s">
        <v>2</v>
      </c>
      <c r="D11" s="1"/>
      <c r="E11" s="22"/>
      <c r="H11" s="24" t="s">
        <v>5</v>
      </c>
      <c r="I11" s="3">
        <f>$E$45</f>
        <v>22255.379999999997</v>
      </c>
      <c r="J11" s="4">
        <f t="shared" si="2"/>
        <v>0.10325645486811885</v>
      </c>
      <c r="K11" s="3">
        <f t="shared" ref="K11:T12" si="8">$J11*K$7</f>
        <v>22923.041399999995</v>
      </c>
      <c r="L11" s="3">
        <f t="shared" si="8"/>
        <v>23610.732641999995</v>
      </c>
      <c r="M11" s="3">
        <f t="shared" si="8"/>
        <v>24319.054621259998</v>
      </c>
      <c r="N11" s="3">
        <f t="shared" si="8"/>
        <v>25048.626259897796</v>
      </c>
      <c r="O11" s="3">
        <f t="shared" si="8"/>
        <v>25800.085047694731</v>
      </c>
      <c r="P11" s="3">
        <f t="shared" si="8"/>
        <v>26574.087599125578</v>
      </c>
      <c r="Q11" s="3">
        <f t="shared" si="8"/>
        <v>27371.310227099344</v>
      </c>
      <c r="R11" s="3">
        <f t="shared" si="8"/>
        <v>28192.449533912324</v>
      </c>
      <c r="S11" s="3">
        <f t="shared" si="8"/>
        <v>29038.223019929694</v>
      </c>
      <c r="T11" s="3">
        <f t="shared" si="8"/>
        <v>29909.369710527586</v>
      </c>
      <c r="U11" s="3">
        <f t="shared" ref="U11:AA12" si="9">$J11*U$7</f>
        <v>30806.650801843418</v>
      </c>
      <c r="V11" s="3">
        <f t="shared" si="9"/>
        <v>31730.850325898715</v>
      </c>
      <c r="W11" s="3">
        <f t="shared" si="9"/>
        <v>32682.775835675682</v>
      </c>
      <c r="X11" s="3">
        <f t="shared" si="9"/>
        <v>33663.259110745952</v>
      </c>
      <c r="Y11" s="3">
        <f t="shared" si="9"/>
        <v>34673.156884068325</v>
      </c>
      <c r="Z11" s="3">
        <f t="shared" si="9"/>
        <v>35713.351590590377</v>
      </c>
      <c r="AA11" s="3">
        <f t="shared" si="9"/>
        <v>36784.752138308089</v>
      </c>
    </row>
    <row r="12" spans="1:27" x14ac:dyDescent="0.25">
      <c r="A12" s="13" t="s">
        <v>128</v>
      </c>
      <c r="C12" s="14">
        <f>(D3*3+E3)/2</f>
        <v>2050</v>
      </c>
      <c r="D12" s="1"/>
      <c r="E12" s="22"/>
      <c r="H12" s="17" t="s">
        <v>97</v>
      </c>
      <c r="I12" s="3">
        <f>$F$19</f>
        <v>2273.7599999999998</v>
      </c>
      <c r="J12" s="4">
        <f t="shared" si="2"/>
        <v>1.0549377131324377E-2</v>
      </c>
      <c r="K12" s="3">
        <f t="shared" si="8"/>
        <v>2341.9727999999996</v>
      </c>
      <c r="L12" s="3">
        <f t="shared" si="8"/>
        <v>2412.2319839999996</v>
      </c>
      <c r="M12" s="3">
        <f t="shared" si="8"/>
        <v>2484.5989435199995</v>
      </c>
      <c r="N12" s="3">
        <f t="shared" si="8"/>
        <v>2559.1369118255998</v>
      </c>
      <c r="O12" s="3">
        <f t="shared" si="8"/>
        <v>2635.9110191803679</v>
      </c>
      <c r="P12" s="3">
        <f t="shared" si="8"/>
        <v>2714.9883497557789</v>
      </c>
      <c r="Q12" s="3">
        <f t="shared" si="8"/>
        <v>2796.4380002484522</v>
      </c>
      <c r="R12" s="3">
        <f t="shared" si="8"/>
        <v>2880.3311402559057</v>
      </c>
      <c r="S12" s="3">
        <f t="shared" si="8"/>
        <v>2966.7410744635831</v>
      </c>
      <c r="T12" s="3">
        <f t="shared" si="8"/>
        <v>3055.7433066974904</v>
      </c>
      <c r="U12" s="3">
        <f t="shared" si="9"/>
        <v>3147.4156058984158</v>
      </c>
      <c r="V12" s="3">
        <f t="shared" si="9"/>
        <v>3241.8380740753678</v>
      </c>
      <c r="W12" s="3">
        <f t="shared" si="9"/>
        <v>3339.0932162976296</v>
      </c>
      <c r="X12" s="3">
        <f t="shared" si="9"/>
        <v>3439.2660127865579</v>
      </c>
      <c r="Y12" s="3">
        <f t="shared" si="9"/>
        <v>3542.4439931701545</v>
      </c>
      <c r="Z12" s="3">
        <f t="shared" si="9"/>
        <v>3648.7173129652592</v>
      </c>
      <c r="AA12" s="3">
        <f t="shared" si="9"/>
        <v>3758.1788323542173</v>
      </c>
    </row>
    <row r="13" spans="1:27" x14ac:dyDescent="0.25">
      <c r="A13" s="13" t="s">
        <v>130</v>
      </c>
      <c r="C13" s="14">
        <f>4*52*8</f>
        <v>1664</v>
      </c>
      <c r="D13" s="1"/>
      <c r="E13" s="22"/>
      <c r="H13" s="17" t="s">
        <v>86</v>
      </c>
      <c r="I13" s="3">
        <f>$D$34</f>
        <v>7019.5059999999994</v>
      </c>
      <c r="J13" s="4">
        <f t="shared" si="2"/>
        <v>3.2567824251281692E-2</v>
      </c>
      <c r="K13" s="3">
        <f>$D$34</f>
        <v>7019.5059999999994</v>
      </c>
      <c r="L13" s="3">
        <f>$D$34</f>
        <v>7019.5059999999994</v>
      </c>
      <c r="M13" s="3">
        <f>$D$34</f>
        <v>7019.5059999999994</v>
      </c>
      <c r="N13" s="3">
        <f>$D$34</f>
        <v>7019.5059999999994</v>
      </c>
      <c r="O13" s="3">
        <v>0</v>
      </c>
      <c r="P13" s="3">
        <v>0</v>
      </c>
      <c r="Q13" s="3">
        <v>0</v>
      </c>
      <c r="R13" s="3">
        <f>$D$36</f>
        <v>8892.1001869208594</v>
      </c>
      <c r="S13" s="3">
        <f>$D$36</f>
        <v>8892.1001869208594</v>
      </c>
      <c r="T13" s="3">
        <f>$D$36</f>
        <v>8892.1001869208594</v>
      </c>
      <c r="U13" s="3">
        <f>$D$36</f>
        <v>8892.1001869208594</v>
      </c>
      <c r="V13" s="3">
        <f>$D$36</f>
        <v>8892.1001869208594</v>
      </c>
      <c r="W13" s="3">
        <v>0</v>
      </c>
      <c r="X13" s="3">
        <v>0</v>
      </c>
      <c r="Y13" s="3">
        <v>0</v>
      </c>
      <c r="Z13" s="3">
        <f>$D$38</f>
        <v>11264.24647749257</v>
      </c>
      <c r="AA13" s="3">
        <f>$D$38</f>
        <v>11264.24647749257</v>
      </c>
    </row>
    <row r="14" spans="1:27" x14ac:dyDescent="0.25">
      <c r="A14" s="80" t="s">
        <v>129</v>
      </c>
      <c r="C14" s="14">
        <f>C13+C12</f>
        <v>3714</v>
      </c>
      <c r="D14" s="1"/>
      <c r="E14" s="22"/>
      <c r="H14" s="17" t="str">
        <f>$A$52</f>
        <v>Marketing Expenses</v>
      </c>
      <c r="I14" s="3">
        <f>$C$52</f>
        <v>1200</v>
      </c>
      <c r="J14" s="4">
        <f t="shared" si="2"/>
        <v>5.5675412346022687E-3</v>
      </c>
      <c r="K14" s="3">
        <f t="shared" ref="K14:AA14" si="10">$J14*K$7</f>
        <v>1236</v>
      </c>
      <c r="L14" s="3">
        <f t="shared" si="10"/>
        <v>1273.08</v>
      </c>
      <c r="M14" s="3">
        <f t="shared" si="10"/>
        <v>1311.2724000000001</v>
      </c>
      <c r="N14" s="3">
        <f t="shared" si="10"/>
        <v>1350.610572</v>
      </c>
      <c r="O14" s="3">
        <f t="shared" si="10"/>
        <v>1391.12888916</v>
      </c>
      <c r="P14" s="3">
        <f t="shared" si="10"/>
        <v>1432.8627558348003</v>
      </c>
      <c r="Q14" s="3">
        <f t="shared" si="10"/>
        <v>1475.8486385098442</v>
      </c>
      <c r="R14" s="3">
        <f t="shared" si="10"/>
        <v>1520.1240976651395</v>
      </c>
      <c r="S14" s="3">
        <f t="shared" si="10"/>
        <v>1565.7278205950936</v>
      </c>
      <c r="T14" s="3">
        <f t="shared" si="10"/>
        <v>1612.6996552129465</v>
      </c>
      <c r="U14" s="3">
        <f t="shared" si="10"/>
        <v>1661.0806448693352</v>
      </c>
      <c r="V14" s="3">
        <f t="shared" si="10"/>
        <v>1710.913064215415</v>
      </c>
      <c r="W14" s="3">
        <f t="shared" si="10"/>
        <v>1762.2404561418778</v>
      </c>
      <c r="X14" s="3">
        <f t="shared" si="10"/>
        <v>1815.1076698261338</v>
      </c>
      <c r="Y14" s="3">
        <f t="shared" si="10"/>
        <v>1869.5608999209178</v>
      </c>
      <c r="Z14" s="3">
        <f t="shared" si="10"/>
        <v>1925.6477269185452</v>
      </c>
      <c r="AA14" s="3">
        <f t="shared" si="10"/>
        <v>1983.4171587261019</v>
      </c>
    </row>
    <row r="15" spans="1:27" x14ac:dyDescent="0.25">
      <c r="A15" s="8" t="s">
        <v>3</v>
      </c>
      <c r="C15" s="14"/>
      <c r="E15" s="22"/>
      <c r="H15" s="17" t="s">
        <v>8</v>
      </c>
      <c r="I15" s="3">
        <f>SUM(Mortgage!H18:H29)</f>
        <v>61179.708764641829</v>
      </c>
      <c r="J15" s="4">
        <f t="shared" si="2"/>
        <v>0.28385045939008435</v>
      </c>
      <c r="K15" s="3">
        <f>SUM(Mortgage!H30:H41)</f>
        <v>60329.268591198808</v>
      </c>
      <c r="L15" s="3">
        <f>SUM(Mortgage!H42:H53)</f>
        <v>59430.856907185953</v>
      </c>
      <c r="M15" s="3">
        <f>SUM(Mortgage!H54:H65)</f>
        <v>58481.76774233258</v>
      </c>
      <c r="N15" s="3">
        <f>SUM(Mortgage!H66:H77)</f>
        <v>57479.142488374731</v>
      </c>
      <c r="O15" s="3">
        <f>SUM(Mortgage!H78:H89)</f>
        <v>56419.961289072606</v>
      </c>
      <c r="P15" s="3">
        <f>SUM(Mortgage!H90:H101)</f>
        <v>55301.033944557275</v>
      </c>
      <c r="Q15" s="3">
        <f>SUM(Mortgage!H102:H113)</f>
        <v>54118.990302610968</v>
      </c>
      <c r="R15" s="3">
        <f>SUM(Mortgage!H114:H125)</f>
        <v>52870.270107940138</v>
      </c>
      <c r="S15" s="3">
        <f>SUM(Mortgage!H126:H137)</f>
        <v>51551.112278867717</v>
      </c>
      <c r="T15" s="3">
        <f>SUM(Mortgage!H138:H149)</f>
        <v>50157.543579146492</v>
      </c>
      <c r="U15" s="3">
        <f>SUM(Mortgage!H150:H161)</f>
        <v>48685.366650773751</v>
      </c>
      <c r="V15" s="3">
        <f>SUM(Mortgage!H162:H173)</f>
        <v>47130.147371762556</v>
      </c>
      <c r="W15" s="3">
        <f>SUM(Mortgage!H174:H185)</f>
        <v>45487.201500791998</v>
      </c>
      <c r="X15" s="3">
        <f>SUM(Mortgage!H186:H197)</f>
        <v>43751.580568510741</v>
      </c>
      <c r="Y15" s="3">
        <f>SUM(Mortgage!H198:H209)</f>
        <v>41918.056972999155</v>
      </c>
      <c r="Z15" s="3">
        <f>SUM(Mortgage!H210:H221)</f>
        <v>39981.108234498366</v>
      </c>
      <c r="AA15" s="3">
        <f>SUM(Mortgage!H222:H233)</f>
        <v>37934.900361982283</v>
      </c>
    </row>
    <row r="16" spans="1:27" x14ac:dyDescent="0.25">
      <c r="A16" s="13" t="s">
        <v>176</v>
      </c>
      <c r="C16" s="14">
        <v>300000</v>
      </c>
      <c r="E16" s="22"/>
      <c r="H16" s="17" t="s">
        <v>173</v>
      </c>
      <c r="I16" s="3">
        <f>C53</f>
        <v>3576</v>
      </c>
      <c r="J16" s="4">
        <f t="shared" si="2"/>
        <v>1.6591272879114761E-2</v>
      </c>
      <c r="K16" s="3">
        <f>I16*(1+$C$54)</f>
        <v>3683.28</v>
      </c>
      <c r="L16" s="3">
        <f>K16*(1+$C$54)</f>
        <v>3793.7784000000001</v>
      </c>
      <c r="M16" s="3">
        <f t="shared" ref="M16:AA16" si="11">L16*(1+$C$54)</f>
        <v>3907.5917520000003</v>
      </c>
      <c r="N16" s="3">
        <f t="shared" si="11"/>
        <v>4024.8195045600005</v>
      </c>
      <c r="O16" s="3">
        <f t="shared" si="11"/>
        <v>4145.5640896968007</v>
      </c>
      <c r="P16" s="3">
        <f t="shared" si="11"/>
        <v>4269.9310123877049</v>
      </c>
      <c r="Q16" s="3">
        <f t="shared" si="11"/>
        <v>4398.0289427593361</v>
      </c>
      <c r="R16" s="3">
        <f t="shared" si="11"/>
        <v>4529.9698110421159</v>
      </c>
      <c r="S16" s="3">
        <f t="shared" si="11"/>
        <v>4665.8689053733797</v>
      </c>
      <c r="T16" s="3">
        <f t="shared" si="11"/>
        <v>4805.8449725345808</v>
      </c>
      <c r="U16" s="3">
        <f t="shared" si="11"/>
        <v>4950.0203217106182</v>
      </c>
      <c r="V16" s="3">
        <f t="shared" si="11"/>
        <v>5098.5209313619371</v>
      </c>
      <c r="W16" s="3">
        <f t="shared" si="11"/>
        <v>5251.4765593027951</v>
      </c>
      <c r="X16" s="3">
        <f t="shared" si="11"/>
        <v>5409.0208560818792</v>
      </c>
      <c r="Y16" s="3">
        <f t="shared" si="11"/>
        <v>5571.2914817643359</v>
      </c>
      <c r="Z16" s="3">
        <f t="shared" si="11"/>
        <v>5738.430226217266</v>
      </c>
      <c r="AA16" s="3">
        <f t="shared" si="11"/>
        <v>5910.5831330037845</v>
      </c>
    </row>
    <row r="17" spans="1:27" x14ac:dyDescent="0.25">
      <c r="A17" s="13" t="s">
        <v>66</v>
      </c>
      <c r="C17" s="14">
        <f>1399000-C16</f>
        <v>1099000</v>
      </c>
      <c r="E17" s="22"/>
      <c r="H17" s="17" t="s">
        <v>95</v>
      </c>
      <c r="I17" s="3">
        <f>$C$46</f>
        <v>1672.8000000000002</v>
      </c>
      <c r="J17" s="4">
        <f t="shared" si="2"/>
        <v>7.7611524810355633E-3</v>
      </c>
      <c r="K17" s="3">
        <f t="shared" ref="K17:T18" si="12">$J17*K$7</f>
        <v>1722.9840000000002</v>
      </c>
      <c r="L17" s="3">
        <f t="shared" si="12"/>
        <v>1774.6735200000001</v>
      </c>
      <c r="M17" s="3">
        <f t="shared" si="12"/>
        <v>1827.9137256000001</v>
      </c>
      <c r="N17" s="3">
        <f t="shared" si="12"/>
        <v>1882.7511373680002</v>
      </c>
      <c r="O17" s="3">
        <f t="shared" si="12"/>
        <v>1939.2336714890403</v>
      </c>
      <c r="P17" s="3">
        <f t="shared" si="12"/>
        <v>1997.4106816337116</v>
      </c>
      <c r="Q17" s="3">
        <f t="shared" si="12"/>
        <v>2057.3330020827229</v>
      </c>
      <c r="R17" s="3">
        <f t="shared" si="12"/>
        <v>2119.0529921452048</v>
      </c>
      <c r="S17" s="3">
        <f t="shared" si="12"/>
        <v>2182.6245819095607</v>
      </c>
      <c r="T17" s="3">
        <f t="shared" si="12"/>
        <v>2248.1033193668477</v>
      </c>
      <c r="U17" s="3">
        <f t="shared" ref="U17:AA18" si="13">$J17*U$7</f>
        <v>2315.5464189478535</v>
      </c>
      <c r="V17" s="3">
        <f t="shared" si="13"/>
        <v>2385.0128115162888</v>
      </c>
      <c r="W17" s="3">
        <f t="shared" si="13"/>
        <v>2456.5631958617778</v>
      </c>
      <c r="X17" s="3">
        <f t="shared" si="13"/>
        <v>2530.2600917376308</v>
      </c>
      <c r="Y17" s="3">
        <f t="shared" si="13"/>
        <v>2606.1678944897594</v>
      </c>
      <c r="Z17" s="3">
        <f t="shared" si="13"/>
        <v>2684.3529313244521</v>
      </c>
      <c r="AA17" s="3">
        <f t="shared" si="13"/>
        <v>2764.8835192641864</v>
      </c>
    </row>
    <row r="18" spans="1:27" x14ac:dyDescent="0.25">
      <c r="A18" s="13" t="s">
        <v>4</v>
      </c>
      <c r="B18" s="2"/>
      <c r="C18" s="3">
        <f>C17/27.5</f>
        <v>39963.63636363636</v>
      </c>
      <c r="E18" s="15"/>
      <c r="H18" s="17" t="s">
        <v>96</v>
      </c>
      <c r="I18" s="82">
        <f>$C$47</f>
        <v>5760</v>
      </c>
      <c r="J18" s="4">
        <f t="shared" si="2"/>
        <v>2.672419792609089E-2</v>
      </c>
      <c r="K18" s="82">
        <f t="shared" si="12"/>
        <v>5932.7999999999993</v>
      </c>
      <c r="L18" s="82">
        <f t="shared" si="12"/>
        <v>6110.7839999999997</v>
      </c>
      <c r="M18" s="82">
        <f t="shared" si="12"/>
        <v>6294.1075200000005</v>
      </c>
      <c r="N18" s="82">
        <f t="shared" si="12"/>
        <v>6482.9307455999997</v>
      </c>
      <c r="O18" s="82">
        <f t="shared" si="12"/>
        <v>6677.4186679680006</v>
      </c>
      <c r="P18" s="82">
        <f t="shared" si="12"/>
        <v>6877.7412280070412</v>
      </c>
      <c r="Q18" s="82">
        <f t="shared" si="12"/>
        <v>7084.0734648472526</v>
      </c>
      <c r="R18" s="82">
        <f t="shared" si="12"/>
        <v>7296.5956687926691</v>
      </c>
      <c r="S18" s="82">
        <f t="shared" si="12"/>
        <v>7515.49353885645</v>
      </c>
      <c r="T18" s="82">
        <f t="shared" si="12"/>
        <v>7740.9583450221435</v>
      </c>
      <c r="U18" s="82">
        <f t="shared" si="13"/>
        <v>7973.1870953728094</v>
      </c>
      <c r="V18" s="82">
        <f t="shared" si="13"/>
        <v>8212.3827082339922</v>
      </c>
      <c r="W18" s="82">
        <f t="shared" si="13"/>
        <v>8458.7541894810129</v>
      </c>
      <c r="X18" s="82">
        <f t="shared" si="13"/>
        <v>8712.5168151654434</v>
      </c>
      <c r="Y18" s="82">
        <f t="shared" si="13"/>
        <v>8973.892319620405</v>
      </c>
      <c r="Z18" s="82">
        <f t="shared" si="13"/>
        <v>9243.1090892090178</v>
      </c>
      <c r="AA18" s="82">
        <f t="shared" si="13"/>
        <v>9520.4023618852898</v>
      </c>
    </row>
    <row r="19" spans="1:27" x14ac:dyDescent="0.25">
      <c r="A19" s="86" t="str">
        <f>H15</f>
        <v>Mortgage Expense</v>
      </c>
      <c r="B19" s="66"/>
      <c r="C19" s="67">
        <f>47.37</f>
        <v>47.37</v>
      </c>
      <c r="D19" s="67">
        <v>4</v>
      </c>
      <c r="E19" s="67">
        <f>D19*C19</f>
        <v>189.48</v>
      </c>
      <c r="F19" s="90">
        <f>E19*12</f>
        <v>2273.7599999999998</v>
      </c>
      <c r="H19" s="24" t="s">
        <v>87</v>
      </c>
      <c r="I19" s="3">
        <f>SUM(I8:I18)</f>
        <v>151491.91112827815</v>
      </c>
      <c r="J19" s="4">
        <f t="shared" si="2"/>
        <v>0.70286455159615913</v>
      </c>
      <c r="K19" s="3">
        <f t="shared" ref="K19:M22" si="14">$J19*K$7</f>
        <v>156036.66846212649</v>
      </c>
      <c r="L19" s="3">
        <f t="shared" si="14"/>
        <v>160717.76851599029</v>
      </c>
      <c r="M19" s="3">
        <f t="shared" si="14"/>
        <v>165539.30157147002</v>
      </c>
      <c r="N19" s="3">
        <f t="shared" ref="N19:Z22" si="15">$J19*N$7</f>
        <v>170505.48061861409</v>
      </c>
      <c r="O19" s="3">
        <f t="shared" si="15"/>
        <v>175620.64503717254</v>
      </c>
      <c r="P19" s="3">
        <f t="shared" si="15"/>
        <v>180889.26438828773</v>
      </c>
      <c r="Q19" s="3">
        <f t="shared" si="15"/>
        <v>186315.94231993635</v>
      </c>
      <c r="R19" s="3">
        <f t="shared" si="15"/>
        <v>191905.42058953445</v>
      </c>
      <c r="S19" s="3">
        <f t="shared" si="15"/>
        <v>197662.58320722048</v>
      </c>
      <c r="T19" s="3">
        <f t="shared" si="15"/>
        <v>203592.4607034371</v>
      </c>
      <c r="U19" s="3">
        <f t="shared" si="15"/>
        <v>209700.23452454025</v>
      </c>
      <c r="V19" s="3">
        <f t="shared" si="15"/>
        <v>215991.24156027642</v>
      </c>
      <c r="W19" s="3">
        <f t="shared" si="15"/>
        <v>222470.97880708476</v>
      </c>
      <c r="X19" s="3">
        <f t="shared" si="15"/>
        <v>229145.10817129727</v>
      </c>
      <c r="Y19" s="3">
        <f t="shared" si="15"/>
        <v>236019.46141643618</v>
      </c>
      <c r="Z19" s="3">
        <f t="shared" si="15"/>
        <v>243100.04525892925</v>
      </c>
      <c r="AA19" s="3">
        <f t="shared" ref="AA19:AA22" si="16">$J19*AA$7</f>
        <v>250393.04661669719</v>
      </c>
    </row>
    <row r="20" spans="1:27" x14ac:dyDescent="0.25">
      <c r="A20" s="8" t="s">
        <v>98</v>
      </c>
      <c r="B20" s="2"/>
      <c r="C20" s="3"/>
      <c r="D20" s="3"/>
      <c r="E20" s="3"/>
      <c r="H20" s="17" t="s">
        <v>9</v>
      </c>
      <c r="I20" s="3">
        <f>I7-I19</f>
        <v>64043.088871721848</v>
      </c>
      <c r="J20" s="4">
        <f t="shared" si="2"/>
        <v>0.29713544840384087</v>
      </c>
      <c r="K20" s="3">
        <f t="shared" si="14"/>
        <v>65964.381537873502</v>
      </c>
      <c r="L20" s="3">
        <f t="shared" si="14"/>
        <v>67943.31298400971</v>
      </c>
      <c r="M20" s="3">
        <f t="shared" si="14"/>
        <v>69981.612373529992</v>
      </c>
      <c r="N20" s="3">
        <f t="shared" si="15"/>
        <v>72081.060744735893</v>
      </c>
      <c r="O20" s="3">
        <f t="shared" si="15"/>
        <v>74243.492567077978</v>
      </c>
      <c r="P20" s="3">
        <f t="shared" si="15"/>
        <v>76470.79734409033</v>
      </c>
      <c r="Q20" s="3">
        <f t="shared" si="15"/>
        <v>78764.921264413031</v>
      </c>
      <c r="R20" s="3">
        <f t="shared" si="15"/>
        <v>81127.868902345421</v>
      </c>
      <c r="S20" s="3">
        <f t="shared" si="15"/>
        <v>83561.70496941579</v>
      </c>
      <c r="T20" s="3">
        <f t="shared" si="15"/>
        <v>86068.556118498265</v>
      </c>
      <c r="U20" s="3">
        <f t="shared" si="15"/>
        <v>88650.61280205322</v>
      </c>
      <c r="V20" s="3">
        <f t="shared" si="15"/>
        <v>91310.131186114799</v>
      </c>
      <c r="W20" s="3">
        <f t="shared" si="15"/>
        <v>94049.435121698261</v>
      </c>
      <c r="X20" s="3">
        <f t="shared" si="15"/>
        <v>96870.918175349201</v>
      </c>
      <c r="Y20" s="3">
        <f t="shared" si="15"/>
        <v>99777.045720609676</v>
      </c>
      <c r="Z20" s="3">
        <f t="shared" si="15"/>
        <v>102770.35709222796</v>
      </c>
      <c r="AA20" s="3">
        <f t="shared" si="16"/>
        <v>105853.46780499481</v>
      </c>
    </row>
    <row r="21" spans="1:27" x14ac:dyDescent="0.25">
      <c r="A21" s="87" t="s">
        <v>99</v>
      </c>
      <c r="B21" s="66"/>
      <c r="C21" s="67">
        <v>29.99</v>
      </c>
      <c r="D21" s="67">
        <v>4</v>
      </c>
      <c r="E21" s="67">
        <f>D21*C21</f>
        <v>119.96</v>
      </c>
      <c r="F21" s="67">
        <f>E21*12</f>
        <v>1439.52</v>
      </c>
      <c r="H21" s="17" t="s">
        <v>10</v>
      </c>
      <c r="I21" s="3">
        <f>IF(I20&gt;0,I20*$C$51,0)</f>
        <v>9606.4633307582772</v>
      </c>
      <c r="J21" s="4">
        <f t="shared" si="2"/>
        <v>4.4570317260576135E-2</v>
      </c>
      <c r="K21" s="3">
        <f t="shared" si="14"/>
        <v>9894.6572306810249</v>
      </c>
      <c r="L21" s="3">
        <f t="shared" si="14"/>
        <v>10191.496947601456</v>
      </c>
      <c r="M21" s="3">
        <f t="shared" si="14"/>
        <v>10497.241856029501</v>
      </c>
      <c r="N21" s="3">
        <f t="shared" si="15"/>
        <v>10812.159111710385</v>
      </c>
      <c r="O21" s="3">
        <f t="shared" si="15"/>
        <v>11136.523885061697</v>
      </c>
      <c r="P21" s="3">
        <f t="shared" si="15"/>
        <v>11470.619601613549</v>
      </c>
      <c r="Q21" s="3">
        <f t="shared" si="15"/>
        <v>11814.738189661955</v>
      </c>
      <c r="R21" s="3">
        <f t="shared" si="15"/>
        <v>12169.180335351813</v>
      </c>
      <c r="S21" s="3">
        <f t="shared" si="15"/>
        <v>12534.255745412369</v>
      </c>
      <c r="T21" s="3">
        <f t="shared" si="15"/>
        <v>12910.283417774741</v>
      </c>
      <c r="U21" s="3">
        <f t="shared" si="15"/>
        <v>13297.591920307985</v>
      </c>
      <c r="V21" s="3">
        <f t="shared" si="15"/>
        <v>13696.519677917222</v>
      </c>
      <c r="W21" s="3">
        <f t="shared" si="15"/>
        <v>14107.415268254741</v>
      </c>
      <c r="X21" s="3">
        <f t="shared" si="15"/>
        <v>14530.637726302382</v>
      </c>
      <c r="Y21" s="3">
        <f t="shared" si="15"/>
        <v>14966.556858091451</v>
      </c>
      <c r="Z21" s="3">
        <f t="shared" si="15"/>
        <v>15415.553563834195</v>
      </c>
      <c r="AA21" s="3">
        <f t="shared" si="16"/>
        <v>15878.020170749223</v>
      </c>
    </row>
    <row r="22" spans="1:27" ht="15.75" thickBot="1" x14ac:dyDescent="0.3">
      <c r="A22" s="87" t="s">
        <v>100</v>
      </c>
      <c r="B22" s="66"/>
      <c r="C22" s="67">
        <v>29.95</v>
      </c>
      <c r="D22" s="67">
        <v>4</v>
      </c>
      <c r="E22" s="67">
        <f>D22*C22</f>
        <v>119.8</v>
      </c>
      <c r="F22" s="67">
        <f>E22*12</f>
        <v>1437.6</v>
      </c>
      <c r="H22" s="17" t="s">
        <v>11</v>
      </c>
      <c r="I22" s="84">
        <f>I20-I21</f>
        <v>54436.625540963571</v>
      </c>
      <c r="J22" s="4">
        <f t="shared" si="2"/>
        <v>0.25256513114326479</v>
      </c>
      <c r="K22" s="84">
        <f t="shared" si="14"/>
        <v>56069.724307192482</v>
      </c>
      <c r="L22" s="84">
        <f t="shared" si="14"/>
        <v>57751.816036408258</v>
      </c>
      <c r="M22" s="84">
        <f t="shared" si="14"/>
        <v>59484.370517500509</v>
      </c>
      <c r="N22" s="84">
        <f t="shared" si="15"/>
        <v>61268.901633025518</v>
      </c>
      <c r="O22" s="84">
        <f t="shared" si="15"/>
        <v>63106.96868201629</v>
      </c>
      <c r="P22" s="84">
        <f t="shared" si="15"/>
        <v>65000.177742476786</v>
      </c>
      <c r="Q22" s="84">
        <f t="shared" si="15"/>
        <v>66950.183074751083</v>
      </c>
      <c r="R22" s="84">
        <f t="shared" si="15"/>
        <v>68958.688566993616</v>
      </c>
      <c r="S22" s="84">
        <f t="shared" si="15"/>
        <v>71027.449224003431</v>
      </c>
      <c r="T22" s="84">
        <f t="shared" si="15"/>
        <v>73158.272700723537</v>
      </c>
      <c r="U22" s="84">
        <f t="shared" si="15"/>
        <v>75353.020881745251</v>
      </c>
      <c r="V22" s="84">
        <f t="shared" si="15"/>
        <v>77613.611508197588</v>
      </c>
      <c r="W22" s="84">
        <f t="shared" si="15"/>
        <v>79942.019853443548</v>
      </c>
      <c r="X22" s="84">
        <f t="shared" si="15"/>
        <v>82340.280449046841</v>
      </c>
      <c r="Y22" s="84">
        <f t="shared" si="15"/>
        <v>84810.488862518236</v>
      </c>
      <c r="Z22" s="84">
        <f t="shared" si="15"/>
        <v>87354.803528393779</v>
      </c>
      <c r="AA22" s="84">
        <f t="shared" si="16"/>
        <v>89975.447634245604</v>
      </c>
    </row>
    <row r="23" spans="1:27" ht="15.75" thickTop="1" x14ac:dyDescent="0.25">
      <c r="A23" s="80" t="s">
        <v>101</v>
      </c>
      <c r="B23" s="2"/>
      <c r="C23" s="3"/>
      <c r="D23" s="3"/>
      <c r="F23" s="3">
        <f>SUM(F21:F22)</f>
        <v>2877.12</v>
      </c>
      <c r="K23" s="18"/>
      <c r="L23" s="4"/>
    </row>
    <row r="24" spans="1:27" x14ac:dyDescent="0.25">
      <c r="A24" s="8" t="s">
        <v>83</v>
      </c>
      <c r="B24" s="2"/>
      <c r="C24" s="3">
        <v>120</v>
      </c>
      <c r="E24" s="15"/>
      <c r="H24" s="16" t="s">
        <v>12</v>
      </c>
      <c r="I24" s="77">
        <f>I1</f>
        <v>2013</v>
      </c>
      <c r="J24" s="7"/>
      <c r="K24" s="77">
        <f t="shared" ref="K24:AA24" si="17">K1</f>
        <v>2014</v>
      </c>
      <c r="L24" s="77">
        <f t="shared" si="17"/>
        <v>2015</v>
      </c>
      <c r="M24" s="78">
        <f t="shared" si="17"/>
        <v>2016</v>
      </c>
      <c r="N24" s="78">
        <f t="shared" si="17"/>
        <v>2017</v>
      </c>
      <c r="O24" s="78">
        <f t="shared" si="17"/>
        <v>2018</v>
      </c>
      <c r="P24" s="78">
        <f t="shared" si="17"/>
        <v>2019</v>
      </c>
      <c r="Q24" s="78">
        <f t="shared" si="17"/>
        <v>2020</v>
      </c>
      <c r="R24" s="78">
        <f t="shared" si="17"/>
        <v>2021</v>
      </c>
      <c r="S24" s="78">
        <f t="shared" si="17"/>
        <v>2022</v>
      </c>
      <c r="T24" s="78">
        <f t="shared" si="17"/>
        <v>2023</v>
      </c>
      <c r="U24" s="78">
        <f t="shared" si="17"/>
        <v>2024</v>
      </c>
      <c r="V24" s="78">
        <f t="shared" si="17"/>
        <v>2025</v>
      </c>
      <c r="W24" s="78">
        <f t="shared" si="17"/>
        <v>2026</v>
      </c>
      <c r="X24" s="78">
        <f t="shared" si="17"/>
        <v>2027</v>
      </c>
      <c r="Y24" s="78">
        <f t="shared" si="17"/>
        <v>2028</v>
      </c>
      <c r="Z24" s="78">
        <f t="shared" si="17"/>
        <v>2029</v>
      </c>
      <c r="AA24" s="78">
        <f t="shared" si="17"/>
        <v>2030</v>
      </c>
    </row>
    <row r="25" spans="1:27" x14ac:dyDescent="0.25">
      <c r="A25" s="86" t="s">
        <v>71</v>
      </c>
      <c r="B25" s="66"/>
      <c r="C25" s="67" t="s">
        <v>79</v>
      </c>
      <c r="D25" s="69" t="s">
        <v>80</v>
      </c>
      <c r="E25" s="70" t="s">
        <v>81</v>
      </c>
      <c r="H25" s="16" t="s">
        <v>13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5">
      <c r="A26" s="87" t="s">
        <v>73</v>
      </c>
      <c r="B26" s="66"/>
      <c r="C26" s="67">
        <v>199.88</v>
      </c>
      <c r="D26" s="67">
        <v>70</v>
      </c>
      <c r="E26" s="67">
        <f t="shared" ref="E26:E32" si="18">D26*C26</f>
        <v>13991.6</v>
      </c>
      <c r="H26" s="17" t="s">
        <v>7</v>
      </c>
      <c r="I26" s="126">
        <v>80852.075963092269</v>
      </c>
      <c r="J26" s="4">
        <v>-299999.72543571074</v>
      </c>
      <c r="K26" s="126">
        <v>168266.07108813478</v>
      </c>
      <c r="L26" s="126">
        <v>256472.39207537798</v>
      </c>
      <c r="M26" s="126">
        <v>345471.08357036742</v>
      </c>
      <c r="N26" s="126">
        <v>435260.85327417706</v>
      </c>
      <c r="O26" s="126">
        <v>518819.45034534577</v>
      </c>
      <c r="P26" s="126">
        <v>603162.06007566047</v>
      </c>
      <c r="Q26" s="126">
        <v>688282.65436779894</v>
      </c>
      <c r="R26" s="126">
        <v>738604.95676746732</v>
      </c>
      <c r="S26" s="126">
        <v>834147.99619404867</v>
      </c>
      <c r="T26" s="126">
        <v>930439.24265993084</v>
      </c>
      <c r="U26" s="126">
        <v>1027464.3412086325</v>
      </c>
      <c r="V26" s="126">
        <v>1125206.4303598511</v>
      </c>
      <c r="W26" s="126">
        <v>1214753.8496311526</v>
      </c>
      <c r="X26" s="126">
        <v>1304976.2354334863</v>
      </c>
      <c r="Y26" s="126">
        <v>1395848.0027275216</v>
      </c>
      <c r="Z26" s="126">
        <v>1501659.3538333927</v>
      </c>
      <c r="AA26" s="126">
        <v>1545627.5910202786</v>
      </c>
    </row>
    <row r="27" spans="1:27" x14ac:dyDescent="0.25">
      <c r="A27" s="87" t="s">
        <v>74</v>
      </c>
      <c r="B27" s="66"/>
      <c r="C27" s="67">
        <v>139</v>
      </c>
      <c r="D27" s="67">
        <v>16</v>
      </c>
      <c r="E27" s="67">
        <f t="shared" si="18"/>
        <v>2224</v>
      </c>
      <c r="H27" s="17" t="s">
        <v>176</v>
      </c>
      <c r="I27" s="126">
        <f>$C$16</f>
        <v>300000</v>
      </c>
      <c r="J27" s="126">
        <f t="shared" ref="J27:AA27" si="19">$C$16</f>
        <v>300000</v>
      </c>
      <c r="K27" s="126">
        <f t="shared" si="19"/>
        <v>300000</v>
      </c>
      <c r="L27" s="126">
        <f t="shared" si="19"/>
        <v>300000</v>
      </c>
      <c r="M27" s="126">
        <f t="shared" si="19"/>
        <v>300000</v>
      </c>
      <c r="N27" s="126">
        <f t="shared" si="19"/>
        <v>300000</v>
      </c>
      <c r="O27" s="126">
        <f t="shared" si="19"/>
        <v>300000</v>
      </c>
      <c r="P27" s="126">
        <f t="shared" si="19"/>
        <v>300000</v>
      </c>
      <c r="Q27" s="126">
        <f t="shared" si="19"/>
        <v>300000</v>
      </c>
      <c r="R27" s="126">
        <f t="shared" si="19"/>
        <v>300000</v>
      </c>
      <c r="S27" s="126">
        <f t="shared" si="19"/>
        <v>300000</v>
      </c>
      <c r="T27" s="126">
        <f t="shared" si="19"/>
        <v>300000</v>
      </c>
      <c r="U27" s="126">
        <f t="shared" si="19"/>
        <v>300000</v>
      </c>
      <c r="V27" s="126">
        <f t="shared" si="19"/>
        <v>300000</v>
      </c>
      <c r="W27" s="126">
        <f t="shared" si="19"/>
        <v>300000</v>
      </c>
      <c r="X27" s="126">
        <f t="shared" si="19"/>
        <v>300000</v>
      </c>
      <c r="Y27" s="126">
        <f t="shared" si="19"/>
        <v>300000</v>
      </c>
      <c r="Z27" s="126">
        <f t="shared" si="19"/>
        <v>300000</v>
      </c>
      <c r="AA27" s="126">
        <f t="shared" si="19"/>
        <v>300000</v>
      </c>
    </row>
    <row r="28" spans="1:27" x14ac:dyDescent="0.25">
      <c r="A28" s="87" t="s">
        <v>82</v>
      </c>
      <c r="B28" s="66"/>
      <c r="C28" s="67">
        <v>169.95</v>
      </c>
      <c r="D28" s="67">
        <v>35</v>
      </c>
      <c r="E28" s="67">
        <f t="shared" si="18"/>
        <v>5948.25</v>
      </c>
      <c r="H28" s="17" t="s">
        <v>148</v>
      </c>
      <c r="I28" s="3">
        <f>C17</f>
        <v>1099000</v>
      </c>
      <c r="J28" s="4">
        <f>I28/$I$35</f>
        <v>0.74865470516625465</v>
      </c>
      <c r="K28" s="3">
        <f>I28</f>
        <v>1099000</v>
      </c>
      <c r="L28" s="3">
        <f>K28</f>
        <v>1099000</v>
      </c>
      <c r="M28" s="3">
        <f>L28</f>
        <v>1099000</v>
      </c>
      <c r="N28" s="3">
        <f t="shared" ref="N28:AA28" si="20">M28</f>
        <v>1099000</v>
      </c>
      <c r="O28" s="3">
        <f t="shared" si="20"/>
        <v>1099000</v>
      </c>
      <c r="P28" s="3">
        <f t="shared" si="20"/>
        <v>1099000</v>
      </c>
      <c r="Q28" s="3">
        <f t="shared" si="20"/>
        <v>1099000</v>
      </c>
      <c r="R28" s="3">
        <f t="shared" si="20"/>
        <v>1099000</v>
      </c>
      <c r="S28" s="3">
        <f t="shared" si="20"/>
        <v>1099000</v>
      </c>
      <c r="T28" s="3">
        <f t="shared" si="20"/>
        <v>1099000</v>
      </c>
      <c r="U28" s="3">
        <f t="shared" si="20"/>
        <v>1099000</v>
      </c>
      <c r="V28" s="3">
        <f t="shared" si="20"/>
        <v>1099000</v>
      </c>
      <c r="W28" s="3">
        <f t="shared" si="20"/>
        <v>1099000</v>
      </c>
      <c r="X28" s="3">
        <f t="shared" si="20"/>
        <v>1099000</v>
      </c>
      <c r="Y28" s="3">
        <f t="shared" si="20"/>
        <v>1099000</v>
      </c>
      <c r="Z28" s="3">
        <f t="shared" si="20"/>
        <v>1099000</v>
      </c>
      <c r="AA28" s="3">
        <f t="shared" si="20"/>
        <v>1099000</v>
      </c>
    </row>
    <row r="29" spans="1:27" x14ac:dyDescent="0.25">
      <c r="A29" s="87" t="s">
        <v>75</v>
      </c>
      <c r="B29" s="66"/>
      <c r="C29" s="67">
        <v>189.98</v>
      </c>
      <c r="D29" s="67">
        <v>16</v>
      </c>
      <c r="E29" s="67">
        <f t="shared" si="18"/>
        <v>3039.68</v>
      </c>
      <c r="H29" s="17" t="s">
        <v>149</v>
      </c>
      <c r="I29" s="82">
        <f>I10</f>
        <v>39963.63636363636</v>
      </c>
      <c r="J29" s="136">
        <f>I29/$I$35</f>
        <v>2.7223807460591075E-2</v>
      </c>
      <c r="K29" s="82">
        <f>K10+I29</f>
        <v>79927.272727272721</v>
      </c>
      <c r="L29" s="82">
        <f t="shared" ref="L29:AA29" si="21">L10+K29</f>
        <v>119890.90909090909</v>
      </c>
      <c r="M29" s="82">
        <f t="shared" si="21"/>
        <v>159854.54545454544</v>
      </c>
      <c r="N29" s="82">
        <f t="shared" si="21"/>
        <v>199818.18181818179</v>
      </c>
      <c r="O29" s="82">
        <f t="shared" si="21"/>
        <v>239781.81818181815</v>
      </c>
      <c r="P29" s="82">
        <f t="shared" si="21"/>
        <v>279745.45454545453</v>
      </c>
      <c r="Q29" s="82">
        <f t="shared" si="21"/>
        <v>319709.09090909088</v>
      </c>
      <c r="R29" s="82">
        <f t="shared" si="21"/>
        <v>359672.72727272724</v>
      </c>
      <c r="S29" s="82">
        <f t="shared" si="21"/>
        <v>399636.36363636359</v>
      </c>
      <c r="T29" s="82">
        <f t="shared" si="21"/>
        <v>439599.99999999994</v>
      </c>
      <c r="U29" s="82">
        <f t="shared" si="21"/>
        <v>479563.63636363629</v>
      </c>
      <c r="V29" s="82">
        <f t="shared" si="21"/>
        <v>519527.27272727265</v>
      </c>
      <c r="W29" s="82">
        <f t="shared" si="21"/>
        <v>559490.90909090906</v>
      </c>
      <c r="X29" s="82">
        <f t="shared" si="21"/>
        <v>599454.54545454541</v>
      </c>
      <c r="Y29" s="82">
        <f t="shared" si="21"/>
        <v>639418.18181818177</v>
      </c>
      <c r="Z29" s="82">
        <f t="shared" si="21"/>
        <v>679381.81818181812</v>
      </c>
      <c r="AA29" s="82">
        <f t="shared" si="21"/>
        <v>719345.45454545447</v>
      </c>
    </row>
    <row r="30" spans="1:27" x14ac:dyDescent="0.25">
      <c r="A30" s="87" t="s">
        <v>76</v>
      </c>
      <c r="B30" s="66"/>
      <c r="C30" s="67">
        <v>29</v>
      </c>
      <c r="D30" s="67">
        <v>16</v>
      </c>
      <c r="E30" s="67">
        <f t="shared" si="18"/>
        <v>464</v>
      </c>
      <c r="H30" s="17" t="s">
        <v>150</v>
      </c>
      <c r="I30" s="3">
        <f>I28-I29</f>
        <v>1059036.3636363635</v>
      </c>
      <c r="J30" s="4">
        <f>I30/$I$35</f>
        <v>0.72143089770566349</v>
      </c>
      <c r="K30" s="3">
        <f t="shared" ref="K30:M30" si="22">K28-K29</f>
        <v>1019072.7272727273</v>
      </c>
      <c r="L30" s="3">
        <f t="shared" si="22"/>
        <v>979109.09090909094</v>
      </c>
      <c r="M30" s="3">
        <f t="shared" si="22"/>
        <v>939145.45454545459</v>
      </c>
      <c r="N30" s="3">
        <f t="shared" ref="N30:AA30" si="23">N28-N29</f>
        <v>899181.81818181823</v>
      </c>
      <c r="O30" s="3">
        <f t="shared" si="23"/>
        <v>859218.18181818188</v>
      </c>
      <c r="P30" s="3">
        <f t="shared" si="23"/>
        <v>819254.54545454541</v>
      </c>
      <c r="Q30" s="3">
        <f t="shared" si="23"/>
        <v>779290.90909090918</v>
      </c>
      <c r="R30" s="3">
        <f t="shared" si="23"/>
        <v>739327.27272727271</v>
      </c>
      <c r="S30" s="3">
        <f t="shared" si="23"/>
        <v>699363.63636363647</v>
      </c>
      <c r="T30" s="3">
        <f t="shared" si="23"/>
        <v>659400</v>
      </c>
      <c r="U30" s="3">
        <f t="shared" si="23"/>
        <v>619436.36363636376</v>
      </c>
      <c r="V30" s="3">
        <f t="shared" si="23"/>
        <v>579472.72727272729</v>
      </c>
      <c r="W30" s="3">
        <f t="shared" si="23"/>
        <v>539509.09090909094</v>
      </c>
      <c r="X30" s="3">
        <f t="shared" si="23"/>
        <v>499545.45454545459</v>
      </c>
      <c r="Y30" s="3">
        <f t="shared" si="23"/>
        <v>459581.81818181823</v>
      </c>
      <c r="Z30" s="3">
        <f t="shared" si="23"/>
        <v>419618.18181818188</v>
      </c>
      <c r="AA30" s="3">
        <f t="shared" si="23"/>
        <v>379654.54545454553</v>
      </c>
    </row>
    <row r="31" spans="1:27" x14ac:dyDescent="0.25">
      <c r="A31" s="87" t="s">
        <v>77</v>
      </c>
      <c r="B31" s="66"/>
      <c r="C31" s="67">
        <v>340</v>
      </c>
      <c r="D31" s="67">
        <v>16</v>
      </c>
      <c r="E31" s="67">
        <f t="shared" si="18"/>
        <v>5440</v>
      </c>
      <c r="H31" s="17" t="s">
        <v>71</v>
      </c>
      <c r="I31" s="3">
        <f>E33</f>
        <v>35097.53</v>
      </c>
      <c r="J31" s="4">
        <f t="shared" ref="J31:J33" si="24">I31/$I$35</f>
        <v>2.3908945381450206E-2</v>
      </c>
      <c r="K31" s="3">
        <f>$I$31</f>
        <v>35097.53</v>
      </c>
      <c r="L31" s="3">
        <f t="shared" ref="L31:Q31" si="25">$I$31</f>
        <v>35097.53</v>
      </c>
      <c r="M31" s="3">
        <f t="shared" si="25"/>
        <v>35097.53</v>
      </c>
      <c r="N31" s="3">
        <f t="shared" si="25"/>
        <v>35097.53</v>
      </c>
      <c r="O31" s="3">
        <f t="shared" si="25"/>
        <v>35097.53</v>
      </c>
      <c r="P31" s="3">
        <f t="shared" si="25"/>
        <v>35097.53</v>
      </c>
      <c r="Q31" s="3">
        <f t="shared" si="25"/>
        <v>35097.53</v>
      </c>
      <c r="R31" s="3">
        <f t="shared" ref="R31:Y31" si="26">$E$35</f>
        <v>44460.500934604293</v>
      </c>
      <c r="S31" s="3">
        <f t="shared" si="26"/>
        <v>44460.500934604293</v>
      </c>
      <c r="T31" s="3">
        <f t="shared" si="26"/>
        <v>44460.500934604293</v>
      </c>
      <c r="U31" s="3">
        <f t="shared" si="26"/>
        <v>44460.500934604293</v>
      </c>
      <c r="V31" s="3">
        <f t="shared" si="26"/>
        <v>44460.500934604293</v>
      </c>
      <c r="W31" s="3">
        <f t="shared" si="26"/>
        <v>44460.500934604293</v>
      </c>
      <c r="X31" s="3">
        <f t="shared" si="26"/>
        <v>44460.500934604293</v>
      </c>
      <c r="Y31" s="3">
        <f t="shared" si="26"/>
        <v>44460.500934604293</v>
      </c>
      <c r="Z31" s="3">
        <f>$E$37</f>
        <v>56321.232387462849</v>
      </c>
      <c r="AA31" s="3">
        <f>$E$37</f>
        <v>56321.232387462849</v>
      </c>
    </row>
    <row r="32" spans="1:27" x14ac:dyDescent="0.25">
      <c r="A32" s="87" t="s">
        <v>78</v>
      </c>
      <c r="B32" s="85"/>
      <c r="C32" s="88">
        <v>57</v>
      </c>
      <c r="D32" s="67">
        <v>70</v>
      </c>
      <c r="E32" s="67">
        <f t="shared" si="18"/>
        <v>3990</v>
      </c>
      <c r="H32" s="17" t="s">
        <v>151</v>
      </c>
      <c r="I32" s="82">
        <f>I13</f>
        <v>7019.5059999999994</v>
      </c>
      <c r="J32" s="136">
        <f>J13</f>
        <v>3.2567824251281692E-2</v>
      </c>
      <c r="K32" s="82">
        <f>I32+K13</f>
        <v>14039.011999999999</v>
      </c>
      <c r="L32" s="82">
        <f t="shared" ref="L32:Q32" si="27">K32+L13</f>
        <v>21058.517999999996</v>
      </c>
      <c r="M32" s="82">
        <f t="shared" si="27"/>
        <v>28078.023999999998</v>
      </c>
      <c r="N32" s="82">
        <f t="shared" si="27"/>
        <v>35097.53</v>
      </c>
      <c r="O32" s="82">
        <f t="shared" si="27"/>
        <v>35097.53</v>
      </c>
      <c r="P32" s="82">
        <f t="shared" si="27"/>
        <v>35097.53</v>
      </c>
      <c r="Q32" s="82">
        <f t="shared" si="27"/>
        <v>35097.53</v>
      </c>
      <c r="R32" s="82">
        <f>R13</f>
        <v>8892.1001869208594</v>
      </c>
      <c r="S32" s="82">
        <f t="shared" ref="S32:Y32" si="28">R32+S13</f>
        <v>17784.200373841719</v>
      </c>
      <c r="T32" s="82">
        <f t="shared" si="28"/>
        <v>26676.300560762578</v>
      </c>
      <c r="U32" s="82">
        <f t="shared" si="28"/>
        <v>35568.400747683438</v>
      </c>
      <c r="V32" s="82">
        <f t="shared" si="28"/>
        <v>44460.500934604293</v>
      </c>
      <c r="W32" s="82">
        <f t="shared" si="28"/>
        <v>44460.500934604293</v>
      </c>
      <c r="X32" s="82">
        <f t="shared" si="28"/>
        <v>44460.500934604293</v>
      </c>
      <c r="Y32" s="82">
        <f t="shared" si="28"/>
        <v>44460.500934604293</v>
      </c>
      <c r="Z32" s="82">
        <f>Z13</f>
        <v>11264.24647749257</v>
      </c>
      <c r="AA32" s="82">
        <f>Z32+AA13</f>
        <v>22528.49295498514</v>
      </c>
    </row>
    <row r="33" spans="1:27" x14ac:dyDescent="0.25">
      <c r="A33" s="89" t="s">
        <v>84</v>
      </c>
      <c r="B33" s="85"/>
      <c r="C33" s="71"/>
      <c r="D33" s="67"/>
      <c r="E33" s="67">
        <f>SUM(E26:E32)</f>
        <v>35097.53</v>
      </c>
      <c r="H33" s="17" t="s">
        <v>152</v>
      </c>
      <c r="I33" s="3">
        <f>I31-I32</f>
        <v>28078.023999999998</v>
      </c>
      <c r="J33" s="4">
        <f t="shared" si="24"/>
        <v>1.9127156305160164E-2</v>
      </c>
      <c r="K33" s="3">
        <f>K31-K32</f>
        <v>21058.518</v>
      </c>
      <c r="L33" s="3">
        <f>L31-L32</f>
        <v>14039.012000000002</v>
      </c>
      <c r="M33" s="3">
        <f t="shared" ref="M33:Q33" si="29">M31-M32</f>
        <v>7019.5060000000012</v>
      </c>
      <c r="N33" s="3">
        <f t="shared" si="29"/>
        <v>0</v>
      </c>
      <c r="O33" s="3">
        <f t="shared" si="29"/>
        <v>0</v>
      </c>
      <c r="P33" s="3">
        <f t="shared" si="29"/>
        <v>0</v>
      </c>
      <c r="Q33" s="3">
        <f t="shared" si="29"/>
        <v>0</v>
      </c>
      <c r="R33" s="3">
        <f t="shared" ref="R33" si="30">R31-R32</f>
        <v>35568.400747683438</v>
      </c>
      <c r="S33" s="3">
        <f t="shared" ref="S33" si="31">S31-S32</f>
        <v>26676.300560762575</v>
      </c>
      <c r="T33" s="3">
        <f t="shared" ref="T33" si="32">T31-T32</f>
        <v>17784.200373841715</v>
      </c>
      <c r="U33" s="3">
        <f t="shared" ref="U33" si="33">U31-U32</f>
        <v>8892.1001869208558</v>
      </c>
      <c r="V33" s="3">
        <f t="shared" ref="V33" si="34">V31-V32</f>
        <v>0</v>
      </c>
      <c r="W33" s="3">
        <f t="shared" ref="W33" si="35">W31-W32</f>
        <v>0</v>
      </c>
      <c r="X33" s="3">
        <f t="shared" ref="X33" si="36">X31-X32</f>
        <v>0</v>
      </c>
      <c r="Y33" s="3">
        <f t="shared" ref="Y33" si="37">Y31-Y32</f>
        <v>0</v>
      </c>
      <c r="Z33" s="3">
        <f t="shared" ref="Z33" si="38">Z31-Z32</f>
        <v>45056.985909970281</v>
      </c>
      <c r="AA33" s="3">
        <f t="shared" ref="AA33" si="39">AA31-AA32</f>
        <v>33792.739432477712</v>
      </c>
    </row>
    <row r="34" spans="1:27" x14ac:dyDescent="0.25">
      <c r="A34" s="80" t="s">
        <v>72</v>
      </c>
      <c r="B34" s="2"/>
      <c r="C34" s="5" t="s">
        <v>131</v>
      </c>
      <c r="D34" s="3">
        <f>E33/5</f>
        <v>7019.5059999999994</v>
      </c>
      <c r="H34" s="17"/>
      <c r="K34" s="3"/>
      <c r="L34" s="4"/>
    </row>
    <row r="35" spans="1:27" ht="15.75" thickBot="1" x14ac:dyDescent="0.3">
      <c r="A35" s="13" t="s">
        <v>132</v>
      </c>
      <c r="B35" s="2"/>
      <c r="C35" s="127" t="s">
        <v>133</v>
      </c>
      <c r="D35" s="3"/>
      <c r="E35" s="3">
        <f>E33*1.03^8</f>
        <v>44460.500934604293</v>
      </c>
      <c r="F35" s="3"/>
      <c r="H35" s="16" t="s">
        <v>14</v>
      </c>
      <c r="I35" s="84">
        <f>I30+I26+I33+I27</f>
        <v>1467966.4635994558</v>
      </c>
      <c r="J35" s="84">
        <f t="shared" ref="J35:AA35" si="40">J30+J26+J33+J27</f>
        <v>1.0151223432621919</v>
      </c>
      <c r="K35" s="84">
        <f t="shared" si="40"/>
        <v>1508397.316360862</v>
      </c>
      <c r="L35" s="84">
        <f t="shared" si="40"/>
        <v>1549620.4949844689</v>
      </c>
      <c r="M35" s="84">
        <f t="shared" si="40"/>
        <v>1591636.0441158221</v>
      </c>
      <c r="N35" s="84">
        <f t="shared" si="40"/>
        <v>1634442.6714559952</v>
      </c>
      <c r="O35" s="84">
        <f t="shared" si="40"/>
        <v>1678037.6321635277</v>
      </c>
      <c r="P35" s="84">
        <f t="shared" si="40"/>
        <v>1722416.6055302059</v>
      </c>
      <c r="Q35" s="84">
        <f t="shared" si="40"/>
        <v>1767573.5634587081</v>
      </c>
      <c r="R35" s="84">
        <f t="shared" si="40"/>
        <v>1813500.6302424234</v>
      </c>
      <c r="S35" s="84">
        <f t="shared" si="40"/>
        <v>1860187.9331184477</v>
      </c>
      <c r="T35" s="84">
        <f t="shared" si="40"/>
        <v>1907623.4430337725</v>
      </c>
      <c r="U35" s="84">
        <f t="shared" si="40"/>
        <v>1955792.8050319173</v>
      </c>
      <c r="V35" s="84">
        <f t="shared" si="40"/>
        <v>2004679.1576325784</v>
      </c>
      <c r="W35" s="84">
        <f t="shared" si="40"/>
        <v>2054262.9405402434</v>
      </c>
      <c r="X35" s="84">
        <f t="shared" si="40"/>
        <v>2104521.6899789409</v>
      </c>
      <c r="Y35" s="84">
        <f t="shared" si="40"/>
        <v>2155429.8209093399</v>
      </c>
      <c r="Z35" s="84">
        <f t="shared" si="40"/>
        <v>2266334.5215615449</v>
      </c>
      <c r="AA35" s="84">
        <f t="shared" si="40"/>
        <v>2259074.8759073019</v>
      </c>
    </row>
    <row r="36" spans="1:27" ht="15.75" thickTop="1" x14ac:dyDescent="0.25">
      <c r="A36" s="80" t="str">
        <f>A34</f>
        <v>Depciation on Furnishings</v>
      </c>
      <c r="B36" s="2"/>
      <c r="C36" s="127" t="str">
        <f>C34</f>
        <v>5 years</v>
      </c>
      <c r="D36" s="18">
        <f>E35/5</f>
        <v>8892.1001869208594</v>
      </c>
      <c r="E36" s="3"/>
      <c r="F36" s="3"/>
      <c r="H36" s="17"/>
      <c r="K36" s="3"/>
      <c r="L36" s="4"/>
    </row>
    <row r="37" spans="1:27" x14ac:dyDescent="0.25">
      <c r="A37" s="13" t="str">
        <f>A35</f>
        <v xml:space="preserve">Replace Furnishings </v>
      </c>
      <c r="C37" s="127" t="s">
        <v>153</v>
      </c>
      <c r="E37" s="3">
        <f>E33*1.03^16</f>
        <v>56321.232387462849</v>
      </c>
      <c r="F37" s="3"/>
      <c r="H37" s="16" t="s">
        <v>15</v>
      </c>
      <c r="K37" s="3"/>
      <c r="L37" s="4"/>
    </row>
    <row r="38" spans="1:27" x14ac:dyDescent="0.25">
      <c r="A38" s="80" t="str">
        <f>A36</f>
        <v>Depciation on Furnishings</v>
      </c>
      <c r="C38" s="5" t="str">
        <f>C36</f>
        <v>5 years</v>
      </c>
      <c r="D38" s="3">
        <f>E37/5</f>
        <v>11264.24647749257</v>
      </c>
      <c r="H38" s="17" t="s">
        <v>67</v>
      </c>
      <c r="I38" s="3">
        <f>I21</f>
        <v>9606.4633307582772</v>
      </c>
      <c r="J38" s="4">
        <f>I38/$I$35</f>
        <v>6.5440618494806866E-3</v>
      </c>
      <c r="K38" s="3">
        <f t="shared" ref="K38:AA38" si="41">K21</f>
        <v>9894.6572306810249</v>
      </c>
      <c r="L38" s="3">
        <f t="shared" si="41"/>
        <v>10191.496947601456</v>
      </c>
      <c r="M38" s="3">
        <f t="shared" si="41"/>
        <v>10497.241856029501</v>
      </c>
      <c r="N38" s="3">
        <f t="shared" si="41"/>
        <v>10812.159111710385</v>
      </c>
      <c r="O38" s="3">
        <f t="shared" si="41"/>
        <v>11136.523885061697</v>
      </c>
      <c r="P38" s="3">
        <f t="shared" si="41"/>
        <v>11470.619601613549</v>
      </c>
      <c r="Q38" s="3">
        <f t="shared" si="41"/>
        <v>11814.738189661955</v>
      </c>
      <c r="R38" s="3">
        <f t="shared" si="41"/>
        <v>12169.180335351813</v>
      </c>
      <c r="S38" s="3">
        <f t="shared" si="41"/>
        <v>12534.255745412369</v>
      </c>
      <c r="T38" s="3">
        <f t="shared" si="41"/>
        <v>12910.283417774741</v>
      </c>
      <c r="U38" s="3">
        <f t="shared" si="41"/>
        <v>13297.591920307985</v>
      </c>
      <c r="V38" s="3">
        <f t="shared" si="41"/>
        <v>13696.519677917222</v>
      </c>
      <c r="W38" s="3">
        <f t="shared" si="41"/>
        <v>14107.415268254741</v>
      </c>
      <c r="X38" s="3">
        <f t="shared" si="41"/>
        <v>14530.637726302382</v>
      </c>
      <c r="Y38" s="3">
        <f t="shared" si="41"/>
        <v>14966.556858091451</v>
      </c>
      <c r="Z38" s="3">
        <f t="shared" si="41"/>
        <v>15415.553563834195</v>
      </c>
      <c r="AA38" s="3">
        <f t="shared" si="41"/>
        <v>15878.020170749223</v>
      </c>
    </row>
    <row r="39" spans="1:27" x14ac:dyDescent="0.25">
      <c r="A39" s="86" t="s">
        <v>5</v>
      </c>
      <c r="B39" s="66"/>
      <c r="C39" s="68"/>
      <c r="D39" s="70" t="s">
        <v>102</v>
      </c>
      <c r="E39" s="69" t="s">
        <v>81</v>
      </c>
      <c r="H39" s="17" t="s">
        <v>83</v>
      </c>
      <c r="I39" s="3">
        <f>C3*C4*C24</f>
        <v>8400</v>
      </c>
      <c r="J39" s="4">
        <f>I39/$I$35</f>
        <v>5.7222015681497171E-3</v>
      </c>
      <c r="K39" s="3">
        <f>$J$39*K35</f>
        <v>8631.3534890729497</v>
      </c>
      <c r="L39" s="3">
        <f t="shared" ref="L39:M39" si="42">$J$39*L35</f>
        <v>8867.2408264370679</v>
      </c>
      <c r="M39" s="3">
        <f t="shared" si="42"/>
        <v>9107.6622675631697</v>
      </c>
      <c r="N39" s="3">
        <f t="shared" ref="N39:AA39" si="43">$J$39*N35</f>
        <v>9352.6104176563076</v>
      </c>
      <c r="O39" s="3">
        <f t="shared" si="43"/>
        <v>9602.0695701803761</v>
      </c>
      <c r="P39" s="3">
        <f t="shared" si="43"/>
        <v>9856.0150011720561</v>
      </c>
      <c r="Q39" s="3">
        <f t="shared" si="43"/>
        <v>10114.412216643403</v>
      </c>
      <c r="R39" s="3">
        <f t="shared" si="43"/>
        <v>10377.216150213695</v>
      </c>
      <c r="S39" s="3">
        <f t="shared" si="43"/>
        <v>10644.370307943562</v>
      </c>
      <c r="T39" s="3">
        <f t="shared" si="43"/>
        <v>10915.805857167015</v>
      </c>
      <c r="U39" s="3">
        <f t="shared" si="43"/>
        <v>11191.440655929571</v>
      </c>
      <c r="V39" s="3">
        <f t="shared" si="43"/>
        <v>11471.178219442194</v>
      </c>
      <c r="W39" s="3">
        <f t="shared" si="43"/>
        <v>11754.906619751229</v>
      </c>
      <c r="X39" s="3">
        <f t="shared" si="43"/>
        <v>12042.497314602588</v>
      </c>
      <c r="Y39" s="3">
        <f t="shared" si="43"/>
        <v>12333.80390124409</v>
      </c>
      <c r="Z39" s="3">
        <f t="shared" si="43"/>
        <v>12968.422953231311</v>
      </c>
      <c r="AA39" s="3">
        <f t="shared" si="43"/>
        <v>12926.88179748439</v>
      </c>
    </row>
    <row r="40" spans="1:27" x14ac:dyDescent="0.25">
      <c r="A40" s="87" t="s">
        <v>90</v>
      </c>
      <c r="B40" s="66"/>
      <c r="C40" s="68">
        <v>1529</v>
      </c>
      <c r="D40" s="70">
        <v>0.25</v>
      </c>
      <c r="E40" s="67">
        <f>D40*C40</f>
        <v>382.25</v>
      </c>
      <c r="I40" s="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5">
      <c r="A41" s="87" t="s">
        <v>91</v>
      </c>
      <c r="B41" s="66"/>
      <c r="C41" s="68">
        <v>3405</v>
      </c>
      <c r="D41" s="70">
        <v>0.25</v>
      </c>
      <c r="E41" s="67">
        <f>D41*C41</f>
        <v>851.25</v>
      </c>
      <c r="H41" s="17" t="s">
        <v>16</v>
      </c>
      <c r="I41" s="3">
        <f>Mortgage!I29</f>
        <v>1104123.3747277339</v>
      </c>
      <c r="J41" s="4">
        <f>I41/$I$35</f>
        <v>0.75214482217830914</v>
      </c>
      <c r="K41" s="3">
        <f>Mortgage!I41</f>
        <v>1088196.3092820249</v>
      </c>
      <c r="L41" s="3">
        <f>Mortgage!I53</f>
        <v>1071370.8321523026</v>
      </c>
      <c r="M41" s="3">
        <f>Mortgage!I65</f>
        <v>1053596.2658577273</v>
      </c>
      <c r="N41" s="3">
        <f>Mortgage!$I$77</f>
        <v>1034819.0743091941</v>
      </c>
      <c r="O41" s="3">
        <f>Mortgage!$I$89</f>
        <v>1014982.7015613586</v>
      </c>
      <c r="P41" s="3">
        <f>Mortgage!$I$101</f>
        <v>994027.40146900807</v>
      </c>
      <c r="Q41" s="3">
        <f>Mortgage!$I$113</f>
        <v>971890.05773471121</v>
      </c>
      <c r="R41" s="3">
        <f>Mortgage!$I$125</f>
        <v>948503.99380574329</v>
      </c>
      <c r="S41" s="3">
        <f>Mortgage!$I$137</f>
        <v>923798.77204770304</v>
      </c>
      <c r="T41" s="3">
        <f>Mortgage!$I$149</f>
        <v>897699.98158994177</v>
      </c>
      <c r="U41" s="3">
        <f>Mortgage!$I$161</f>
        <v>870129.01420380769</v>
      </c>
      <c r="V41" s="3">
        <f>Mortgage!$I$173</f>
        <v>841002.82753866236</v>
      </c>
      <c r="W41" s="3">
        <f>Mortgage!$I$185</f>
        <v>810233.69500254642</v>
      </c>
      <c r="X41" s="3">
        <f>Mortgage!$I$197</f>
        <v>777728.94153414958</v>
      </c>
      <c r="Y41" s="3">
        <f>Mortgage!$I$209</f>
        <v>743390.66447024082</v>
      </c>
      <c r="Z41" s="3">
        <f>Mortgage!$I$201</f>
        <v>766491.56488830934</v>
      </c>
      <c r="AA41" s="3">
        <f>Mortgage!$I$233</f>
        <v>668794.00499290577</v>
      </c>
    </row>
    <row r="42" spans="1:27" x14ac:dyDescent="0.25">
      <c r="A42" s="87" t="s">
        <v>92</v>
      </c>
      <c r="B42" s="66"/>
      <c r="C42" s="68">
        <v>0.73</v>
      </c>
      <c r="D42" s="85">
        <v>1000</v>
      </c>
      <c r="E42" s="67">
        <f>D42*C42</f>
        <v>730</v>
      </c>
      <c r="I42" s="5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5">
      <c r="A43" s="87" t="s">
        <v>93</v>
      </c>
      <c r="B43" s="66"/>
      <c r="C43" s="68">
        <v>0.35</v>
      </c>
      <c r="D43" s="85">
        <f>1666*3</f>
        <v>4998</v>
      </c>
      <c r="E43" s="67">
        <f>D43*C43</f>
        <v>1749.3</v>
      </c>
      <c r="H43" s="75" t="s">
        <v>68</v>
      </c>
      <c r="I43" s="3">
        <f>C49</f>
        <v>299800</v>
      </c>
      <c r="J43" s="4">
        <f>I43/$I$35</f>
        <v>0.204228098825153</v>
      </c>
      <c r="K43" s="3">
        <f>I43</f>
        <v>299800</v>
      </c>
      <c r="L43" s="3">
        <f>K43</f>
        <v>299800</v>
      </c>
      <c r="M43" s="3">
        <f>L43</f>
        <v>299800</v>
      </c>
      <c r="N43" s="3">
        <f t="shared" ref="N43:AA43" si="44">M43</f>
        <v>299800</v>
      </c>
      <c r="O43" s="3">
        <f t="shared" si="44"/>
        <v>299800</v>
      </c>
      <c r="P43" s="3">
        <f t="shared" si="44"/>
        <v>299800</v>
      </c>
      <c r="Q43" s="3">
        <f t="shared" si="44"/>
        <v>299800</v>
      </c>
      <c r="R43" s="3">
        <f t="shared" si="44"/>
        <v>299800</v>
      </c>
      <c r="S43" s="3">
        <f t="shared" si="44"/>
        <v>299800</v>
      </c>
      <c r="T43" s="3">
        <f t="shared" si="44"/>
        <v>299800</v>
      </c>
      <c r="U43" s="3">
        <f t="shared" si="44"/>
        <v>299800</v>
      </c>
      <c r="V43" s="3">
        <f t="shared" si="44"/>
        <v>299800</v>
      </c>
      <c r="W43" s="3">
        <f t="shared" si="44"/>
        <v>299800</v>
      </c>
      <c r="X43" s="3">
        <f t="shared" si="44"/>
        <v>299800</v>
      </c>
      <c r="Y43" s="3">
        <f t="shared" si="44"/>
        <v>299800</v>
      </c>
      <c r="Z43" s="3">
        <f t="shared" si="44"/>
        <v>299800</v>
      </c>
      <c r="AA43" s="3">
        <f t="shared" si="44"/>
        <v>299800</v>
      </c>
    </row>
    <row r="44" spans="1:27" x14ac:dyDescent="0.25">
      <c r="A44" s="87" t="s">
        <v>94</v>
      </c>
      <c r="B44" s="66"/>
      <c r="C44" s="68">
        <v>3.71</v>
      </c>
      <c r="D44" s="85">
        <f>D43</f>
        <v>4998</v>
      </c>
      <c r="E44" s="67">
        <f>D44*C44</f>
        <v>18542.579999999998</v>
      </c>
      <c r="H44" s="17" t="s">
        <v>17</v>
      </c>
      <c r="I44" s="3">
        <f>I22</f>
        <v>54436.625540963571</v>
      </c>
      <c r="J44" s="4">
        <f>I44/$I$35</f>
        <v>3.7083017147057223E-2</v>
      </c>
      <c r="K44" s="3">
        <f>I44+K22</f>
        <v>110506.34984815605</v>
      </c>
      <c r="L44" s="3">
        <f t="shared" ref="L44:AA44" si="45">K44+L22</f>
        <v>168258.16588456431</v>
      </c>
      <c r="M44" s="3">
        <f t="shared" si="45"/>
        <v>227742.53640206481</v>
      </c>
      <c r="N44" s="3">
        <f t="shared" si="45"/>
        <v>289011.43803509034</v>
      </c>
      <c r="O44" s="3">
        <f t="shared" si="45"/>
        <v>352118.40671710664</v>
      </c>
      <c r="P44" s="3">
        <f t="shared" si="45"/>
        <v>417118.58445958345</v>
      </c>
      <c r="Q44" s="3">
        <f t="shared" si="45"/>
        <v>484068.76753433456</v>
      </c>
      <c r="R44" s="3">
        <f t="shared" si="45"/>
        <v>553027.45610132813</v>
      </c>
      <c r="S44" s="3">
        <f t="shared" si="45"/>
        <v>624054.90532533161</v>
      </c>
      <c r="T44" s="3">
        <f t="shared" si="45"/>
        <v>697213.1780260551</v>
      </c>
      <c r="U44" s="3">
        <f t="shared" si="45"/>
        <v>772566.19890780037</v>
      </c>
      <c r="V44" s="3">
        <f t="shared" si="45"/>
        <v>850179.81041599798</v>
      </c>
      <c r="W44" s="3">
        <f t="shared" si="45"/>
        <v>930121.83026944147</v>
      </c>
      <c r="X44" s="3">
        <f t="shared" si="45"/>
        <v>1012462.1107184883</v>
      </c>
      <c r="Y44" s="3">
        <f t="shared" si="45"/>
        <v>1097272.5995810067</v>
      </c>
      <c r="Z44" s="3">
        <f t="shared" si="45"/>
        <v>1184627.4031094005</v>
      </c>
      <c r="AA44" s="3">
        <f t="shared" si="45"/>
        <v>1274602.850743646</v>
      </c>
    </row>
    <row r="45" spans="1:27" x14ac:dyDescent="0.25">
      <c r="A45" s="80" t="s">
        <v>89</v>
      </c>
      <c r="B45" s="2"/>
      <c r="C45" s="14"/>
      <c r="D45" s="1"/>
      <c r="E45" s="81">
        <f>SUM(E40:E44)</f>
        <v>22255.379999999997</v>
      </c>
      <c r="H45" s="17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thickBot="1" x14ac:dyDescent="0.3">
      <c r="A46" s="8" t="s">
        <v>95</v>
      </c>
      <c r="B46" s="2"/>
      <c r="C46" s="14">
        <f>34.85*4*12</f>
        <v>1672.8000000000002</v>
      </c>
      <c r="D46" s="1"/>
      <c r="E46" s="3"/>
      <c r="F46" s="81"/>
      <c r="H46" s="16" t="s">
        <v>18</v>
      </c>
      <c r="I46" s="84">
        <f>I44+I43+I41+I38</f>
        <v>1467966.4635994558</v>
      </c>
      <c r="J46" s="135">
        <f>I46/$I$35</f>
        <v>1</v>
      </c>
      <c r="K46" s="84">
        <f t="shared" ref="K46:AA46" si="46">K44+K43+K41+K38</f>
        <v>1508397.316360862</v>
      </c>
      <c r="L46" s="84">
        <f t="shared" si="46"/>
        <v>1549620.4949844684</v>
      </c>
      <c r="M46" s="84">
        <f t="shared" si="46"/>
        <v>1591636.0441158216</v>
      </c>
      <c r="N46" s="84">
        <f t="shared" si="46"/>
        <v>1634442.6714559949</v>
      </c>
      <c r="O46" s="84">
        <f t="shared" si="46"/>
        <v>1678037.6321635272</v>
      </c>
      <c r="P46" s="84">
        <f t="shared" si="46"/>
        <v>1722416.6055302052</v>
      </c>
      <c r="Q46" s="84">
        <f t="shared" si="46"/>
        <v>1767573.5634587076</v>
      </c>
      <c r="R46" s="84">
        <f t="shared" si="46"/>
        <v>1813500.6302424232</v>
      </c>
      <c r="S46" s="84">
        <f t="shared" si="46"/>
        <v>1860187.933118447</v>
      </c>
      <c r="T46" s="84">
        <f t="shared" si="46"/>
        <v>1907623.4430337716</v>
      </c>
      <c r="U46" s="84">
        <f t="shared" si="46"/>
        <v>1955792.8050319164</v>
      </c>
      <c r="V46" s="84">
        <f t="shared" si="46"/>
        <v>2004679.1576325777</v>
      </c>
      <c r="W46" s="84">
        <f t="shared" si="46"/>
        <v>2054262.9405402427</v>
      </c>
      <c r="X46" s="84">
        <f t="shared" si="46"/>
        <v>2104521.6899789399</v>
      </c>
      <c r="Y46" s="84">
        <f t="shared" si="46"/>
        <v>2155429.820909339</v>
      </c>
      <c r="Z46" s="84">
        <f t="shared" si="46"/>
        <v>2266334.5215615439</v>
      </c>
      <c r="AA46" s="84">
        <f t="shared" si="46"/>
        <v>2259074.875907301</v>
      </c>
    </row>
    <row r="47" spans="1:27" ht="15.75" thickTop="1" x14ac:dyDescent="0.25">
      <c r="A47" s="8" t="s">
        <v>96</v>
      </c>
      <c r="B47" s="2"/>
      <c r="C47" s="14">
        <f>30*16*12</f>
        <v>5760</v>
      </c>
      <c r="D47" s="1"/>
      <c r="E47" s="15"/>
      <c r="F47" s="81"/>
      <c r="I47" s="5"/>
      <c r="L47" s="4"/>
    </row>
    <row r="48" spans="1:27" x14ac:dyDescent="0.25">
      <c r="A48" s="8" t="s">
        <v>6</v>
      </c>
      <c r="B48" s="2"/>
      <c r="C48" s="14"/>
      <c r="E48" s="15"/>
      <c r="H48" s="1" t="s">
        <v>19</v>
      </c>
      <c r="I48" s="25">
        <f t="shared" ref="I48:AA48" si="47">I26/I38</f>
        <v>8.4164247735394504</v>
      </c>
      <c r="J48" s="4">
        <f t="shared" si="47"/>
        <v>-45843045.548158698</v>
      </c>
      <c r="K48" s="25">
        <f t="shared" si="47"/>
        <v>17.005750392886874</v>
      </c>
      <c r="L48" s="25">
        <f t="shared" si="47"/>
        <v>25.165330804101171</v>
      </c>
      <c r="M48" s="25">
        <f t="shared" si="47"/>
        <v>32.910652941842301</v>
      </c>
      <c r="N48" s="25">
        <f t="shared" si="47"/>
        <v>40.256608210912901</v>
      </c>
      <c r="O48" s="25">
        <f t="shared" si="47"/>
        <v>46.587198635768154</v>
      </c>
      <c r="P48" s="25">
        <f t="shared" si="47"/>
        <v>52.58321529473568</v>
      </c>
      <c r="Q48" s="25">
        <f t="shared" si="47"/>
        <v>58.25627646747644</v>
      </c>
      <c r="R48" s="25">
        <f t="shared" si="47"/>
        <v>60.694717015722006</v>
      </c>
      <c r="S48" s="25">
        <f t="shared" si="47"/>
        <v>66.549463576994029</v>
      </c>
      <c r="T48" s="25">
        <f t="shared" si="47"/>
        <v>72.069621754307263</v>
      </c>
      <c r="U48" s="25">
        <f t="shared" si="47"/>
        <v>77.266947832825011</v>
      </c>
      <c r="V48" s="25">
        <f t="shared" si="47"/>
        <v>82.152726153784272</v>
      </c>
      <c r="W48" s="25">
        <f t="shared" si="47"/>
        <v>86.107470896150375</v>
      </c>
      <c r="X48" s="25">
        <f t="shared" si="47"/>
        <v>89.808600284026497</v>
      </c>
      <c r="Y48" s="25">
        <f t="shared" si="47"/>
        <v>93.264470643618779</v>
      </c>
      <c r="Z48" s="25">
        <f t="shared" si="47"/>
        <v>97.411964326495209</v>
      </c>
      <c r="AA48" s="25">
        <f t="shared" si="47"/>
        <v>97.343848565431458</v>
      </c>
    </row>
    <row r="49" spans="1:27" x14ac:dyDescent="0.25">
      <c r="A49" s="13" t="s">
        <v>7</v>
      </c>
      <c r="B49" s="2"/>
      <c r="C49" s="14">
        <f>0.2*1399000+20000</f>
        <v>299800</v>
      </c>
      <c r="E49" s="15"/>
      <c r="H49" s="147" t="s">
        <v>154</v>
      </c>
      <c r="I49" s="148">
        <f t="shared" ref="I49:AA49" si="48">I22/(I44+I43)</f>
        <v>0.15367305810863585</v>
      </c>
      <c r="J49" s="4">
        <f t="shared" si="48"/>
        <v>1.0466369529879038</v>
      </c>
      <c r="K49" s="148">
        <f t="shared" si="48"/>
        <v>0.13665331849712406</v>
      </c>
      <c r="L49" s="148">
        <f t="shared" si="48"/>
        <v>0.12338598115741753</v>
      </c>
      <c r="M49" s="148">
        <f t="shared" si="48"/>
        <v>0.11275748667243903</v>
      </c>
      <c r="N49" s="148">
        <f t="shared" si="48"/>
        <v>0.10405521645008226</v>
      </c>
      <c r="O49" s="148">
        <f t="shared" si="48"/>
        <v>9.6801943359456188E-2</v>
      </c>
      <c r="P49" s="148">
        <f t="shared" si="48"/>
        <v>9.0666052117304524E-2</v>
      </c>
      <c r="Q49" s="148">
        <f t="shared" si="48"/>
        <v>8.5409938305544969E-2</v>
      </c>
      <c r="R49" s="148">
        <f t="shared" si="48"/>
        <v>8.0858898331247361E-2</v>
      </c>
      <c r="S49" s="148">
        <f t="shared" si="48"/>
        <v>7.6881606423891219E-2</v>
      </c>
      <c r="T49" s="148">
        <f t="shared" si="48"/>
        <v>7.3377438045068327E-2</v>
      </c>
      <c r="U49" s="148">
        <f t="shared" si="48"/>
        <v>7.0267993301627668E-2</v>
      </c>
      <c r="V49" s="148">
        <f t="shared" si="48"/>
        <v>6.749128185139297E-2</v>
      </c>
      <c r="W49" s="148">
        <f t="shared" si="48"/>
        <v>6.4997642846887665E-2</v>
      </c>
      <c r="X49" s="148">
        <f t="shared" si="48"/>
        <v>6.2746824568427104E-2</v>
      </c>
      <c r="Y49" s="148">
        <f t="shared" si="48"/>
        <v>6.0705856580362094E-2</v>
      </c>
      <c r="Z49" s="148">
        <f t="shared" si="48"/>
        <v>5.8847474349647148E-2</v>
      </c>
      <c r="AA49" s="148">
        <f t="shared" si="48"/>
        <v>5.7148935923068876E-2</v>
      </c>
    </row>
    <row r="50" spans="1:27" x14ac:dyDescent="0.25">
      <c r="A50" s="13" t="s">
        <v>16</v>
      </c>
      <c r="B50" s="2"/>
      <c r="C50" s="14">
        <f>(C17+C16)*0.8</f>
        <v>1119200</v>
      </c>
      <c r="E50" s="15"/>
      <c r="H50" s="147" t="s">
        <v>155</v>
      </c>
      <c r="I50" s="148">
        <f t="shared" ref="I50:AA50" si="49">I22/I35</f>
        <v>3.7083017147057223E-2</v>
      </c>
      <c r="J50" s="4">
        <f t="shared" si="49"/>
        <v>0.24880265203465307</v>
      </c>
      <c r="K50" s="148">
        <f t="shared" si="49"/>
        <v>3.7171721070457422E-2</v>
      </c>
      <c r="L50" s="148">
        <f t="shared" si="49"/>
        <v>3.7268361010537022E-2</v>
      </c>
      <c r="M50" s="148">
        <f t="shared" si="49"/>
        <v>3.7373098414936301E-2</v>
      </c>
      <c r="N50" s="148">
        <f t="shared" si="49"/>
        <v>3.7486112362965854E-2</v>
      </c>
      <c r="O50" s="148">
        <f t="shared" si="49"/>
        <v>3.7607600373450033E-2</v>
      </c>
      <c r="P50" s="148">
        <f t="shared" si="49"/>
        <v>3.7737779311798954E-2</v>
      </c>
      <c r="Q50" s="148">
        <f t="shared" si="49"/>
        <v>3.7876886404516023E-2</v>
      </c>
      <c r="R50" s="148">
        <f t="shared" si="49"/>
        <v>3.8025180370505535E-2</v>
      </c>
      <c r="S50" s="148">
        <f t="shared" si="49"/>
        <v>3.8182942679846288E-2</v>
      </c>
      <c r="T50" s="148">
        <f t="shared" si="49"/>
        <v>3.8350478952165167E-2</v>
      </c>
      <c r="U50" s="148">
        <f t="shared" si="49"/>
        <v>3.8528120508407093E-2</v>
      </c>
      <c r="V50" s="148">
        <f t="shared" si="49"/>
        <v>3.8716226091688018E-2</v>
      </c>
      <c r="W50" s="148">
        <f t="shared" si="49"/>
        <v>3.8915183775072082E-2</v>
      </c>
      <c r="X50" s="148">
        <f t="shared" si="49"/>
        <v>3.912541307657931E-2</v>
      </c>
      <c r="Y50" s="148">
        <f t="shared" si="49"/>
        <v>3.9347367304558359E-2</v>
      </c>
      <c r="Z50" s="148">
        <f t="shared" si="49"/>
        <v>3.8544532017367308E-2</v>
      </c>
      <c r="AA50" s="148">
        <f t="shared" si="49"/>
        <v>3.9828448624620809E-2</v>
      </c>
    </row>
    <row r="51" spans="1:27" x14ac:dyDescent="0.25">
      <c r="A51" s="8" t="s">
        <v>70</v>
      </c>
      <c r="B51" s="2"/>
      <c r="C51" s="23">
        <v>0.15</v>
      </c>
      <c r="E51" s="15"/>
      <c r="H51" s="147" t="s">
        <v>156</v>
      </c>
      <c r="I51" s="146">
        <f>SUM(I41)/SUM(I43:I44)</f>
        <v>3.1169091367715005</v>
      </c>
      <c r="J51" s="4">
        <f t="shared" ref="J51:AA51" si="50">SUM(J41)/SUM(J43:J44)</f>
        <v>3.1169091367715001</v>
      </c>
      <c r="K51" s="146">
        <f t="shared" si="50"/>
        <v>2.652155662920495</v>
      </c>
      <c r="L51" s="146">
        <f t="shared" si="50"/>
        <v>2.2889694278222068</v>
      </c>
      <c r="M51" s="146">
        <f t="shared" si="50"/>
        <v>1.9971778447354096</v>
      </c>
      <c r="N51" s="146">
        <f t="shared" si="50"/>
        <v>1.7574710806611809</v>
      </c>
      <c r="O51" s="146">
        <f t="shared" si="50"/>
        <v>1.5569167722576669</v>
      </c>
      <c r="P51" s="146">
        <f t="shared" si="50"/>
        <v>1.3865275960425973</v>
      </c>
      <c r="Q51" s="146">
        <f t="shared" si="50"/>
        <v>1.2398632245443317</v>
      </c>
      <c r="R51" s="146">
        <f t="shared" si="50"/>
        <v>1.1121874501341658</v>
      </c>
      <c r="S51" s="146">
        <f t="shared" si="50"/>
        <v>0.99993924015848701</v>
      </c>
      <c r="T51" s="146">
        <f t="shared" si="50"/>
        <v>0.90038928408876262</v>
      </c>
      <c r="U51" s="146">
        <f t="shared" si="50"/>
        <v>0.81141033267369833</v>
      </c>
      <c r="V51" s="146">
        <f t="shared" si="50"/>
        <v>0.73131964572007113</v>
      </c>
      <c r="W51" s="146">
        <f t="shared" si="50"/>
        <v>0.65876844776797472</v>
      </c>
      <c r="X51" s="146">
        <f t="shared" si="50"/>
        <v>0.592662803552507</v>
      </c>
      <c r="Y51" s="146">
        <f t="shared" si="50"/>
        <v>0.53210596549756228</v>
      </c>
      <c r="Z51" s="146">
        <f t="shared" si="50"/>
        <v>0.51635503580892861</v>
      </c>
      <c r="AA51" s="146">
        <f t="shared" si="50"/>
        <v>0.42479217099804589</v>
      </c>
    </row>
    <row r="52" spans="1:27" x14ac:dyDescent="0.25">
      <c r="A52" s="8" t="s">
        <v>69</v>
      </c>
      <c r="B52" s="2"/>
      <c r="C52" s="14">
        <v>1200</v>
      </c>
      <c r="E52" s="15"/>
      <c r="I52" s="5"/>
      <c r="K52" s="5" t="s">
        <v>157</v>
      </c>
      <c r="L52" s="4"/>
    </row>
    <row r="53" spans="1:27" x14ac:dyDescent="0.25">
      <c r="A53" s="1" t="s">
        <v>173</v>
      </c>
      <c r="B53" s="2"/>
      <c r="C53" s="14">
        <f>3576</f>
        <v>3576</v>
      </c>
      <c r="E53" s="15"/>
      <c r="H53" s="147" t="s">
        <v>183</v>
      </c>
      <c r="I53" s="5"/>
      <c r="L53" s="4"/>
    </row>
    <row r="54" spans="1:27" x14ac:dyDescent="0.25">
      <c r="A54" s="1" t="s">
        <v>174</v>
      </c>
      <c r="B54" s="2"/>
      <c r="C54" s="148">
        <v>0.03</v>
      </c>
      <c r="D54" s="14" t="s">
        <v>175</v>
      </c>
      <c r="E54" s="14"/>
      <c r="F54" s="14"/>
      <c r="I54" s="5"/>
      <c r="L54" s="4"/>
    </row>
    <row r="55" spans="1:27" x14ac:dyDescent="0.25">
      <c r="I55" s="5"/>
    </row>
    <row r="56" spans="1:27" x14ac:dyDescent="0.25">
      <c r="I56" s="5"/>
      <c r="L56" s="3"/>
    </row>
    <row r="57" spans="1:27" x14ac:dyDescent="0.25">
      <c r="I57" s="5"/>
    </row>
    <row r="58" spans="1:27" x14ac:dyDescent="0.25">
      <c r="A58" s="5"/>
      <c r="B58" s="5"/>
    </row>
    <row r="59" spans="1:27" x14ac:dyDescent="0.25">
      <c r="A59" s="5"/>
      <c r="B59" s="5"/>
    </row>
    <row r="60" spans="1:27" x14ac:dyDescent="0.25">
      <c r="A60" s="5"/>
      <c r="B60" s="5"/>
      <c r="D60" s="5"/>
      <c r="F60" s="5"/>
    </row>
    <row r="61" spans="1:27" x14ac:dyDescent="0.25">
      <c r="A61" s="5"/>
      <c r="B61" s="5"/>
      <c r="D61" s="5"/>
      <c r="F61" s="5"/>
    </row>
    <row r="62" spans="1:27" x14ac:dyDescent="0.25">
      <c r="A62" s="5"/>
      <c r="B62" s="5"/>
      <c r="D62" s="5"/>
      <c r="F62" s="5"/>
    </row>
    <row r="63" spans="1:27" x14ac:dyDescent="0.25">
      <c r="A63" s="5"/>
      <c r="B63" s="5"/>
      <c r="D63" s="5"/>
      <c r="F63" s="5"/>
    </row>
    <row r="64" spans="1:27" x14ac:dyDescent="0.25">
      <c r="A64" s="5"/>
      <c r="B64" s="5"/>
      <c r="D64" s="5"/>
      <c r="F64" s="5"/>
    </row>
    <row r="65" spans="1:9" x14ac:dyDescent="0.25">
      <c r="A65" s="5"/>
      <c r="B65" s="5"/>
      <c r="D65" s="5"/>
      <c r="F65" s="5"/>
    </row>
    <row r="66" spans="1:9" x14ac:dyDescent="0.25">
      <c r="A66" s="5"/>
      <c r="B66" s="5"/>
      <c r="D66" s="5"/>
      <c r="F66" s="5"/>
    </row>
    <row r="67" spans="1:9" x14ac:dyDescent="0.25">
      <c r="A67" s="5"/>
      <c r="B67" s="5"/>
      <c r="D67" s="5"/>
      <c r="F67" s="5"/>
    </row>
    <row r="68" spans="1:9" x14ac:dyDescent="0.25">
      <c r="A68" s="5"/>
      <c r="B68" s="5"/>
      <c r="D68" s="5"/>
      <c r="F68" s="5"/>
    </row>
    <row r="69" spans="1:9" x14ac:dyDescent="0.25">
      <c r="A69" s="5"/>
      <c r="B69" s="5"/>
      <c r="D69" s="5"/>
      <c r="F69" s="5"/>
    </row>
    <row r="70" spans="1:9" x14ac:dyDescent="0.25">
      <c r="A70" s="5"/>
      <c r="B70" s="5"/>
      <c r="D70" s="5"/>
      <c r="F70" s="5"/>
    </row>
    <row r="71" spans="1:9" x14ac:dyDescent="0.25">
      <c r="A71" s="5"/>
      <c r="B71" s="5"/>
      <c r="D71" s="5"/>
      <c r="F71" s="5"/>
    </row>
    <row r="72" spans="1:9" x14ac:dyDescent="0.25">
      <c r="A72" s="5"/>
      <c r="B72" s="5"/>
      <c r="D72" s="5"/>
      <c r="F72" s="5"/>
    </row>
    <row r="73" spans="1:9" x14ac:dyDescent="0.25">
      <c r="A73" s="5"/>
      <c r="B73" s="5"/>
      <c r="D73" s="5"/>
      <c r="F73" s="5"/>
    </row>
    <row r="74" spans="1:9" x14ac:dyDescent="0.25">
      <c r="A74" s="5"/>
      <c r="B74" s="5"/>
      <c r="D74" s="5"/>
      <c r="F74" s="5"/>
    </row>
    <row r="75" spans="1:9" x14ac:dyDescent="0.25">
      <c r="A75" s="5"/>
      <c r="B75" s="5"/>
      <c r="D75" s="5"/>
      <c r="F75" s="5"/>
    </row>
    <row r="76" spans="1:9" x14ac:dyDescent="0.25">
      <c r="A76" s="5"/>
      <c r="B76" s="5"/>
      <c r="D76" s="5"/>
      <c r="F76" s="5"/>
    </row>
    <row r="77" spans="1:9" x14ac:dyDescent="0.25">
      <c r="A77" s="5"/>
      <c r="B77" s="5"/>
      <c r="D77" s="5"/>
      <c r="F77" s="5"/>
      <c r="I77" s="5"/>
    </row>
    <row r="78" spans="1:9" x14ac:dyDescent="0.25">
      <c r="A78" s="5"/>
      <c r="B78" s="5"/>
      <c r="D78" s="5"/>
      <c r="F78" s="5"/>
    </row>
    <row r="79" spans="1:9" x14ac:dyDescent="0.25">
      <c r="A79" s="5"/>
      <c r="B79" s="5"/>
      <c r="D79" s="5"/>
      <c r="F79" s="5"/>
      <c r="I79" s="5"/>
    </row>
    <row r="80" spans="1:9" x14ac:dyDescent="0.25">
      <c r="A80" s="5"/>
      <c r="B80" s="5"/>
      <c r="D80" s="5"/>
      <c r="F80" s="5"/>
    </row>
    <row r="81" spans="1:6" x14ac:dyDescent="0.25">
      <c r="A81" s="5"/>
      <c r="B81" s="5"/>
      <c r="D81" s="5"/>
      <c r="F81" s="5"/>
    </row>
    <row r="82" spans="1:6" x14ac:dyDescent="0.25">
      <c r="A82" s="5"/>
      <c r="B82" s="5"/>
      <c r="D82" s="5"/>
      <c r="F82" s="5"/>
    </row>
    <row r="83" spans="1:6" x14ac:dyDescent="0.25">
      <c r="A83" s="5"/>
      <c r="B83" s="5"/>
      <c r="D83" s="5"/>
      <c r="F83" s="5"/>
    </row>
    <row r="84" spans="1:6" x14ac:dyDescent="0.25">
      <c r="D84" s="5"/>
      <c r="F84" s="5"/>
    </row>
    <row r="85" spans="1:6" x14ac:dyDescent="0.25">
      <c r="D85" s="5"/>
      <c r="F85" s="5"/>
    </row>
    <row r="103" spans="1:5" x14ac:dyDescent="0.25">
      <c r="A103" s="5"/>
      <c r="B103" s="5"/>
    </row>
    <row r="105" spans="1:5" x14ac:dyDescent="0.25">
      <c r="A105" s="5"/>
      <c r="B105" s="5"/>
      <c r="C105" s="21"/>
    </row>
    <row r="107" spans="1:5" x14ac:dyDescent="0.25">
      <c r="D107" s="26"/>
      <c r="E107" s="21"/>
    </row>
  </sheetData>
  <sortState ref="H9:AA17">
    <sortCondition ref="H9:H1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opLeftCell="A13" zoomScale="70" zoomScaleNormal="70" workbookViewId="0">
      <pane xSplit="1" topLeftCell="B1" activePane="topRight" state="frozen"/>
      <selection activeCell="A46" sqref="A46"/>
      <selection pane="topRight"/>
    </sheetView>
  </sheetViews>
  <sheetFormatPr defaultColWidth="9.42578125" defaultRowHeight="15" x14ac:dyDescent="0.25"/>
  <cols>
    <col min="1" max="1" width="37.28515625" style="128" bestFit="1" customWidth="1"/>
    <col min="2" max="2" width="16.85546875" style="132" bestFit="1" customWidth="1"/>
    <col min="3" max="3" width="14.42578125" style="132" bestFit="1" customWidth="1"/>
    <col min="4" max="5" width="13.5703125" style="132" bestFit="1" customWidth="1"/>
    <col min="6" max="11" width="13.42578125" style="132" bestFit="1" customWidth="1"/>
    <col min="12" max="20" width="14.42578125" style="132" bestFit="1" customWidth="1"/>
    <col min="21" max="248" width="9.42578125" style="128"/>
    <col min="249" max="249" width="4.85546875" style="128" customWidth="1"/>
    <col min="250" max="250" width="29.5703125" style="128" customWidth="1"/>
    <col min="251" max="251" width="11.28515625" style="128" bestFit="1" customWidth="1"/>
    <col min="252" max="252" width="12.28515625" style="128" bestFit="1" customWidth="1"/>
    <col min="253" max="255" width="10" style="128" bestFit="1" customWidth="1"/>
    <col min="256" max="256" width="13.42578125" style="128" bestFit="1" customWidth="1"/>
    <col min="257" max="257" width="9.42578125" style="128"/>
    <col min="258" max="258" width="9.5703125" style="128" bestFit="1" customWidth="1"/>
    <col min="259" max="504" width="9.42578125" style="128"/>
    <col min="505" max="505" width="4.85546875" style="128" customWidth="1"/>
    <col min="506" max="506" width="29.5703125" style="128" customWidth="1"/>
    <col min="507" max="507" width="11.28515625" style="128" bestFit="1" customWidth="1"/>
    <col min="508" max="508" width="12.28515625" style="128" bestFit="1" customWidth="1"/>
    <col min="509" max="511" width="10" style="128" bestFit="1" customWidth="1"/>
    <col min="512" max="512" width="13.42578125" style="128" bestFit="1" customWidth="1"/>
    <col min="513" max="513" width="9.42578125" style="128"/>
    <col min="514" max="514" width="9.5703125" style="128" bestFit="1" customWidth="1"/>
    <col min="515" max="760" width="9.42578125" style="128"/>
    <col min="761" max="761" width="4.85546875" style="128" customWidth="1"/>
    <col min="762" max="762" width="29.5703125" style="128" customWidth="1"/>
    <col min="763" max="763" width="11.28515625" style="128" bestFit="1" customWidth="1"/>
    <col min="764" max="764" width="12.28515625" style="128" bestFit="1" customWidth="1"/>
    <col min="765" max="767" width="10" style="128" bestFit="1" customWidth="1"/>
    <col min="768" max="768" width="13.42578125" style="128" bestFit="1" customWidth="1"/>
    <col min="769" max="769" width="9.42578125" style="128"/>
    <col min="770" max="770" width="9.5703125" style="128" bestFit="1" customWidth="1"/>
    <col min="771" max="1016" width="9.42578125" style="128"/>
    <col min="1017" max="1017" width="4.85546875" style="128" customWidth="1"/>
    <col min="1018" max="1018" width="29.5703125" style="128" customWidth="1"/>
    <col min="1019" max="1019" width="11.28515625" style="128" bestFit="1" customWidth="1"/>
    <col min="1020" max="1020" width="12.28515625" style="128" bestFit="1" customWidth="1"/>
    <col min="1021" max="1023" width="10" style="128" bestFit="1" customWidth="1"/>
    <col min="1024" max="1024" width="13.42578125" style="128" bestFit="1" customWidth="1"/>
    <col min="1025" max="1025" width="9.42578125" style="128"/>
    <col min="1026" max="1026" width="9.5703125" style="128" bestFit="1" customWidth="1"/>
    <col min="1027" max="1272" width="9.42578125" style="128"/>
    <col min="1273" max="1273" width="4.85546875" style="128" customWidth="1"/>
    <col min="1274" max="1274" width="29.5703125" style="128" customWidth="1"/>
    <col min="1275" max="1275" width="11.28515625" style="128" bestFit="1" customWidth="1"/>
    <col min="1276" max="1276" width="12.28515625" style="128" bestFit="1" customWidth="1"/>
    <col min="1277" max="1279" width="10" style="128" bestFit="1" customWidth="1"/>
    <col min="1280" max="1280" width="13.42578125" style="128" bestFit="1" customWidth="1"/>
    <col min="1281" max="1281" width="9.42578125" style="128"/>
    <col min="1282" max="1282" width="9.5703125" style="128" bestFit="1" customWidth="1"/>
    <col min="1283" max="1528" width="9.42578125" style="128"/>
    <col min="1529" max="1529" width="4.85546875" style="128" customWidth="1"/>
    <col min="1530" max="1530" width="29.5703125" style="128" customWidth="1"/>
    <col min="1531" max="1531" width="11.28515625" style="128" bestFit="1" customWidth="1"/>
    <col min="1532" max="1532" width="12.28515625" style="128" bestFit="1" customWidth="1"/>
    <col min="1533" max="1535" width="10" style="128" bestFit="1" customWidth="1"/>
    <col min="1536" max="1536" width="13.42578125" style="128" bestFit="1" customWidth="1"/>
    <col min="1537" max="1537" width="9.42578125" style="128"/>
    <col min="1538" max="1538" width="9.5703125" style="128" bestFit="1" customWidth="1"/>
    <col min="1539" max="1784" width="9.42578125" style="128"/>
    <col min="1785" max="1785" width="4.85546875" style="128" customWidth="1"/>
    <col min="1786" max="1786" width="29.5703125" style="128" customWidth="1"/>
    <col min="1787" max="1787" width="11.28515625" style="128" bestFit="1" customWidth="1"/>
    <col min="1788" max="1788" width="12.28515625" style="128" bestFit="1" customWidth="1"/>
    <col min="1789" max="1791" width="10" style="128" bestFit="1" customWidth="1"/>
    <col min="1792" max="1792" width="13.42578125" style="128" bestFit="1" customWidth="1"/>
    <col min="1793" max="1793" width="9.42578125" style="128"/>
    <col min="1794" max="1794" width="9.5703125" style="128" bestFit="1" customWidth="1"/>
    <col min="1795" max="2040" width="9.42578125" style="128"/>
    <col min="2041" max="2041" width="4.85546875" style="128" customWidth="1"/>
    <col min="2042" max="2042" width="29.5703125" style="128" customWidth="1"/>
    <col min="2043" max="2043" width="11.28515625" style="128" bestFit="1" customWidth="1"/>
    <col min="2044" max="2044" width="12.28515625" style="128" bestFit="1" customWidth="1"/>
    <col min="2045" max="2047" width="10" style="128" bestFit="1" customWidth="1"/>
    <col min="2048" max="2048" width="13.42578125" style="128" bestFit="1" customWidth="1"/>
    <col min="2049" max="2049" width="9.42578125" style="128"/>
    <col min="2050" max="2050" width="9.5703125" style="128" bestFit="1" customWidth="1"/>
    <col min="2051" max="2296" width="9.42578125" style="128"/>
    <col min="2297" max="2297" width="4.85546875" style="128" customWidth="1"/>
    <col min="2298" max="2298" width="29.5703125" style="128" customWidth="1"/>
    <col min="2299" max="2299" width="11.28515625" style="128" bestFit="1" customWidth="1"/>
    <col min="2300" max="2300" width="12.28515625" style="128" bestFit="1" customWidth="1"/>
    <col min="2301" max="2303" width="10" style="128" bestFit="1" customWidth="1"/>
    <col min="2304" max="2304" width="13.42578125" style="128" bestFit="1" customWidth="1"/>
    <col min="2305" max="2305" width="9.42578125" style="128"/>
    <col min="2306" max="2306" width="9.5703125" style="128" bestFit="1" customWidth="1"/>
    <col min="2307" max="2552" width="9.42578125" style="128"/>
    <col min="2553" max="2553" width="4.85546875" style="128" customWidth="1"/>
    <col min="2554" max="2554" width="29.5703125" style="128" customWidth="1"/>
    <col min="2555" max="2555" width="11.28515625" style="128" bestFit="1" customWidth="1"/>
    <col min="2556" max="2556" width="12.28515625" style="128" bestFit="1" customWidth="1"/>
    <col min="2557" max="2559" width="10" style="128" bestFit="1" customWidth="1"/>
    <col min="2560" max="2560" width="13.42578125" style="128" bestFit="1" customWidth="1"/>
    <col min="2561" max="2561" width="9.42578125" style="128"/>
    <col min="2562" max="2562" width="9.5703125" style="128" bestFit="1" customWidth="1"/>
    <col min="2563" max="2808" width="9.42578125" style="128"/>
    <col min="2809" max="2809" width="4.85546875" style="128" customWidth="1"/>
    <col min="2810" max="2810" width="29.5703125" style="128" customWidth="1"/>
    <col min="2811" max="2811" width="11.28515625" style="128" bestFit="1" customWidth="1"/>
    <col min="2812" max="2812" width="12.28515625" style="128" bestFit="1" customWidth="1"/>
    <col min="2813" max="2815" width="10" style="128" bestFit="1" customWidth="1"/>
    <col min="2816" max="2816" width="13.42578125" style="128" bestFit="1" customWidth="1"/>
    <col min="2817" max="2817" width="9.42578125" style="128"/>
    <col min="2818" max="2818" width="9.5703125" style="128" bestFit="1" customWidth="1"/>
    <col min="2819" max="3064" width="9.42578125" style="128"/>
    <col min="3065" max="3065" width="4.85546875" style="128" customWidth="1"/>
    <col min="3066" max="3066" width="29.5703125" style="128" customWidth="1"/>
    <col min="3067" max="3067" width="11.28515625" style="128" bestFit="1" customWidth="1"/>
    <col min="3068" max="3068" width="12.28515625" style="128" bestFit="1" customWidth="1"/>
    <col min="3069" max="3071" width="10" style="128" bestFit="1" customWidth="1"/>
    <col min="3072" max="3072" width="13.42578125" style="128" bestFit="1" customWidth="1"/>
    <col min="3073" max="3073" width="9.42578125" style="128"/>
    <col min="3074" max="3074" width="9.5703125" style="128" bestFit="1" customWidth="1"/>
    <col min="3075" max="3320" width="9.42578125" style="128"/>
    <col min="3321" max="3321" width="4.85546875" style="128" customWidth="1"/>
    <col min="3322" max="3322" width="29.5703125" style="128" customWidth="1"/>
    <col min="3323" max="3323" width="11.28515625" style="128" bestFit="1" customWidth="1"/>
    <col min="3324" max="3324" width="12.28515625" style="128" bestFit="1" customWidth="1"/>
    <col min="3325" max="3327" width="10" style="128" bestFit="1" customWidth="1"/>
    <col min="3328" max="3328" width="13.42578125" style="128" bestFit="1" customWidth="1"/>
    <col min="3329" max="3329" width="9.42578125" style="128"/>
    <col min="3330" max="3330" width="9.5703125" style="128" bestFit="1" customWidth="1"/>
    <col min="3331" max="3576" width="9.42578125" style="128"/>
    <col min="3577" max="3577" width="4.85546875" style="128" customWidth="1"/>
    <col min="3578" max="3578" width="29.5703125" style="128" customWidth="1"/>
    <col min="3579" max="3579" width="11.28515625" style="128" bestFit="1" customWidth="1"/>
    <col min="3580" max="3580" width="12.28515625" style="128" bestFit="1" customWidth="1"/>
    <col min="3581" max="3583" width="10" style="128" bestFit="1" customWidth="1"/>
    <col min="3584" max="3584" width="13.42578125" style="128" bestFit="1" customWidth="1"/>
    <col min="3585" max="3585" width="9.42578125" style="128"/>
    <col min="3586" max="3586" width="9.5703125" style="128" bestFit="1" customWidth="1"/>
    <col min="3587" max="3832" width="9.42578125" style="128"/>
    <col min="3833" max="3833" width="4.85546875" style="128" customWidth="1"/>
    <col min="3834" max="3834" width="29.5703125" style="128" customWidth="1"/>
    <col min="3835" max="3835" width="11.28515625" style="128" bestFit="1" customWidth="1"/>
    <col min="3836" max="3836" width="12.28515625" style="128" bestFit="1" customWidth="1"/>
    <col min="3837" max="3839" width="10" style="128" bestFit="1" customWidth="1"/>
    <col min="3840" max="3840" width="13.42578125" style="128" bestFit="1" customWidth="1"/>
    <col min="3841" max="3841" width="9.42578125" style="128"/>
    <col min="3842" max="3842" width="9.5703125" style="128" bestFit="1" customWidth="1"/>
    <col min="3843" max="4088" width="9.42578125" style="128"/>
    <col min="4089" max="4089" width="4.85546875" style="128" customWidth="1"/>
    <col min="4090" max="4090" width="29.5703125" style="128" customWidth="1"/>
    <col min="4091" max="4091" width="11.28515625" style="128" bestFit="1" customWidth="1"/>
    <col min="4092" max="4092" width="12.28515625" style="128" bestFit="1" customWidth="1"/>
    <col min="4093" max="4095" width="10" style="128" bestFit="1" customWidth="1"/>
    <col min="4096" max="4096" width="13.42578125" style="128" bestFit="1" customWidth="1"/>
    <col min="4097" max="4097" width="9.42578125" style="128"/>
    <col min="4098" max="4098" width="9.5703125" style="128" bestFit="1" customWidth="1"/>
    <col min="4099" max="4344" width="9.42578125" style="128"/>
    <col min="4345" max="4345" width="4.85546875" style="128" customWidth="1"/>
    <col min="4346" max="4346" width="29.5703125" style="128" customWidth="1"/>
    <col min="4347" max="4347" width="11.28515625" style="128" bestFit="1" customWidth="1"/>
    <col min="4348" max="4348" width="12.28515625" style="128" bestFit="1" customWidth="1"/>
    <col min="4349" max="4351" width="10" style="128" bestFit="1" customWidth="1"/>
    <col min="4352" max="4352" width="13.42578125" style="128" bestFit="1" customWidth="1"/>
    <col min="4353" max="4353" width="9.42578125" style="128"/>
    <col min="4354" max="4354" width="9.5703125" style="128" bestFit="1" customWidth="1"/>
    <col min="4355" max="4600" width="9.42578125" style="128"/>
    <col min="4601" max="4601" width="4.85546875" style="128" customWidth="1"/>
    <col min="4602" max="4602" width="29.5703125" style="128" customWidth="1"/>
    <col min="4603" max="4603" width="11.28515625" style="128" bestFit="1" customWidth="1"/>
    <col min="4604" max="4604" width="12.28515625" style="128" bestFit="1" customWidth="1"/>
    <col min="4605" max="4607" width="10" style="128" bestFit="1" customWidth="1"/>
    <col min="4608" max="4608" width="13.42578125" style="128" bestFit="1" customWidth="1"/>
    <col min="4609" max="4609" width="9.42578125" style="128"/>
    <col min="4610" max="4610" width="9.5703125" style="128" bestFit="1" customWidth="1"/>
    <col min="4611" max="4856" width="9.42578125" style="128"/>
    <col min="4857" max="4857" width="4.85546875" style="128" customWidth="1"/>
    <col min="4858" max="4858" width="29.5703125" style="128" customWidth="1"/>
    <col min="4859" max="4859" width="11.28515625" style="128" bestFit="1" customWidth="1"/>
    <col min="4860" max="4860" width="12.28515625" style="128" bestFit="1" customWidth="1"/>
    <col min="4861" max="4863" width="10" style="128" bestFit="1" customWidth="1"/>
    <col min="4864" max="4864" width="13.42578125" style="128" bestFit="1" customWidth="1"/>
    <col min="4865" max="4865" width="9.42578125" style="128"/>
    <col min="4866" max="4866" width="9.5703125" style="128" bestFit="1" customWidth="1"/>
    <col min="4867" max="5112" width="9.42578125" style="128"/>
    <col min="5113" max="5113" width="4.85546875" style="128" customWidth="1"/>
    <col min="5114" max="5114" width="29.5703125" style="128" customWidth="1"/>
    <col min="5115" max="5115" width="11.28515625" style="128" bestFit="1" customWidth="1"/>
    <col min="5116" max="5116" width="12.28515625" style="128" bestFit="1" customWidth="1"/>
    <col min="5117" max="5119" width="10" style="128" bestFit="1" customWidth="1"/>
    <col min="5120" max="5120" width="13.42578125" style="128" bestFit="1" customWidth="1"/>
    <col min="5121" max="5121" width="9.42578125" style="128"/>
    <col min="5122" max="5122" width="9.5703125" style="128" bestFit="1" customWidth="1"/>
    <col min="5123" max="5368" width="9.42578125" style="128"/>
    <col min="5369" max="5369" width="4.85546875" style="128" customWidth="1"/>
    <col min="5370" max="5370" width="29.5703125" style="128" customWidth="1"/>
    <col min="5371" max="5371" width="11.28515625" style="128" bestFit="1" customWidth="1"/>
    <col min="5372" max="5372" width="12.28515625" style="128" bestFit="1" customWidth="1"/>
    <col min="5373" max="5375" width="10" style="128" bestFit="1" customWidth="1"/>
    <col min="5376" max="5376" width="13.42578125" style="128" bestFit="1" customWidth="1"/>
    <col min="5377" max="5377" width="9.42578125" style="128"/>
    <col min="5378" max="5378" width="9.5703125" style="128" bestFit="1" customWidth="1"/>
    <col min="5379" max="5624" width="9.42578125" style="128"/>
    <col min="5625" max="5625" width="4.85546875" style="128" customWidth="1"/>
    <col min="5626" max="5626" width="29.5703125" style="128" customWidth="1"/>
    <col min="5627" max="5627" width="11.28515625" style="128" bestFit="1" customWidth="1"/>
    <col min="5628" max="5628" width="12.28515625" style="128" bestFit="1" customWidth="1"/>
    <col min="5629" max="5631" width="10" style="128" bestFit="1" customWidth="1"/>
    <col min="5632" max="5632" width="13.42578125" style="128" bestFit="1" customWidth="1"/>
    <col min="5633" max="5633" width="9.42578125" style="128"/>
    <col min="5634" max="5634" width="9.5703125" style="128" bestFit="1" customWidth="1"/>
    <col min="5635" max="5880" width="9.42578125" style="128"/>
    <col min="5881" max="5881" width="4.85546875" style="128" customWidth="1"/>
    <col min="5882" max="5882" width="29.5703125" style="128" customWidth="1"/>
    <col min="5883" max="5883" width="11.28515625" style="128" bestFit="1" customWidth="1"/>
    <col min="5884" max="5884" width="12.28515625" style="128" bestFit="1" customWidth="1"/>
    <col min="5885" max="5887" width="10" style="128" bestFit="1" customWidth="1"/>
    <col min="5888" max="5888" width="13.42578125" style="128" bestFit="1" customWidth="1"/>
    <col min="5889" max="5889" width="9.42578125" style="128"/>
    <col min="5890" max="5890" width="9.5703125" style="128" bestFit="1" customWidth="1"/>
    <col min="5891" max="6136" width="9.42578125" style="128"/>
    <col min="6137" max="6137" width="4.85546875" style="128" customWidth="1"/>
    <col min="6138" max="6138" width="29.5703125" style="128" customWidth="1"/>
    <col min="6139" max="6139" width="11.28515625" style="128" bestFit="1" customWidth="1"/>
    <col min="6140" max="6140" width="12.28515625" style="128" bestFit="1" customWidth="1"/>
    <col min="6141" max="6143" width="10" style="128" bestFit="1" customWidth="1"/>
    <col min="6144" max="6144" width="13.42578125" style="128" bestFit="1" customWidth="1"/>
    <col min="6145" max="6145" width="9.42578125" style="128"/>
    <col min="6146" max="6146" width="9.5703125" style="128" bestFit="1" customWidth="1"/>
    <col min="6147" max="6392" width="9.42578125" style="128"/>
    <col min="6393" max="6393" width="4.85546875" style="128" customWidth="1"/>
    <col min="6394" max="6394" width="29.5703125" style="128" customWidth="1"/>
    <col min="6395" max="6395" width="11.28515625" style="128" bestFit="1" customWidth="1"/>
    <col min="6396" max="6396" width="12.28515625" style="128" bestFit="1" customWidth="1"/>
    <col min="6397" max="6399" width="10" style="128" bestFit="1" customWidth="1"/>
    <col min="6400" max="6400" width="13.42578125" style="128" bestFit="1" customWidth="1"/>
    <col min="6401" max="6401" width="9.42578125" style="128"/>
    <col min="6402" max="6402" width="9.5703125" style="128" bestFit="1" customWidth="1"/>
    <col min="6403" max="6648" width="9.42578125" style="128"/>
    <col min="6649" max="6649" width="4.85546875" style="128" customWidth="1"/>
    <col min="6650" max="6650" width="29.5703125" style="128" customWidth="1"/>
    <col min="6651" max="6651" width="11.28515625" style="128" bestFit="1" customWidth="1"/>
    <col min="6652" max="6652" width="12.28515625" style="128" bestFit="1" customWidth="1"/>
    <col min="6653" max="6655" width="10" style="128" bestFit="1" customWidth="1"/>
    <col min="6656" max="6656" width="13.42578125" style="128" bestFit="1" customWidth="1"/>
    <col min="6657" max="6657" width="9.42578125" style="128"/>
    <col min="6658" max="6658" width="9.5703125" style="128" bestFit="1" customWidth="1"/>
    <col min="6659" max="6904" width="9.42578125" style="128"/>
    <col min="6905" max="6905" width="4.85546875" style="128" customWidth="1"/>
    <col min="6906" max="6906" width="29.5703125" style="128" customWidth="1"/>
    <col min="6907" max="6907" width="11.28515625" style="128" bestFit="1" customWidth="1"/>
    <col min="6908" max="6908" width="12.28515625" style="128" bestFit="1" customWidth="1"/>
    <col min="6909" max="6911" width="10" style="128" bestFit="1" customWidth="1"/>
    <col min="6912" max="6912" width="13.42578125" style="128" bestFit="1" customWidth="1"/>
    <col min="6913" max="6913" width="9.42578125" style="128"/>
    <col min="6914" max="6914" width="9.5703125" style="128" bestFit="1" customWidth="1"/>
    <col min="6915" max="7160" width="9.42578125" style="128"/>
    <col min="7161" max="7161" width="4.85546875" style="128" customWidth="1"/>
    <col min="7162" max="7162" width="29.5703125" style="128" customWidth="1"/>
    <col min="7163" max="7163" width="11.28515625" style="128" bestFit="1" customWidth="1"/>
    <col min="7164" max="7164" width="12.28515625" style="128" bestFit="1" customWidth="1"/>
    <col min="7165" max="7167" width="10" style="128" bestFit="1" customWidth="1"/>
    <col min="7168" max="7168" width="13.42578125" style="128" bestFit="1" customWidth="1"/>
    <col min="7169" max="7169" width="9.42578125" style="128"/>
    <col min="7170" max="7170" width="9.5703125" style="128" bestFit="1" customWidth="1"/>
    <col min="7171" max="7416" width="9.42578125" style="128"/>
    <col min="7417" max="7417" width="4.85546875" style="128" customWidth="1"/>
    <col min="7418" max="7418" width="29.5703125" style="128" customWidth="1"/>
    <col min="7419" max="7419" width="11.28515625" style="128" bestFit="1" customWidth="1"/>
    <col min="7420" max="7420" width="12.28515625" style="128" bestFit="1" customWidth="1"/>
    <col min="7421" max="7423" width="10" style="128" bestFit="1" customWidth="1"/>
    <col min="7424" max="7424" width="13.42578125" style="128" bestFit="1" customWidth="1"/>
    <col min="7425" max="7425" width="9.42578125" style="128"/>
    <col min="7426" max="7426" width="9.5703125" style="128" bestFit="1" customWidth="1"/>
    <col min="7427" max="7672" width="9.42578125" style="128"/>
    <col min="7673" max="7673" width="4.85546875" style="128" customWidth="1"/>
    <col min="7674" max="7674" width="29.5703125" style="128" customWidth="1"/>
    <col min="7675" max="7675" width="11.28515625" style="128" bestFit="1" customWidth="1"/>
    <col min="7676" max="7676" width="12.28515625" style="128" bestFit="1" customWidth="1"/>
    <col min="7677" max="7679" width="10" style="128" bestFit="1" customWidth="1"/>
    <col min="7680" max="7680" width="13.42578125" style="128" bestFit="1" customWidth="1"/>
    <col min="7681" max="7681" width="9.42578125" style="128"/>
    <col min="7682" max="7682" width="9.5703125" style="128" bestFit="1" customWidth="1"/>
    <col min="7683" max="7928" width="9.42578125" style="128"/>
    <col min="7929" max="7929" width="4.85546875" style="128" customWidth="1"/>
    <col min="7930" max="7930" width="29.5703125" style="128" customWidth="1"/>
    <col min="7931" max="7931" width="11.28515625" style="128" bestFit="1" customWidth="1"/>
    <col min="7932" max="7932" width="12.28515625" style="128" bestFit="1" customWidth="1"/>
    <col min="7933" max="7935" width="10" style="128" bestFit="1" customWidth="1"/>
    <col min="7936" max="7936" width="13.42578125" style="128" bestFit="1" customWidth="1"/>
    <col min="7937" max="7937" width="9.42578125" style="128"/>
    <col min="7938" max="7938" width="9.5703125" style="128" bestFit="1" customWidth="1"/>
    <col min="7939" max="8184" width="9.42578125" style="128"/>
    <col min="8185" max="8185" width="4.85546875" style="128" customWidth="1"/>
    <col min="8186" max="8186" width="29.5703125" style="128" customWidth="1"/>
    <col min="8187" max="8187" width="11.28515625" style="128" bestFit="1" customWidth="1"/>
    <col min="8188" max="8188" width="12.28515625" style="128" bestFit="1" customWidth="1"/>
    <col min="8189" max="8191" width="10" style="128" bestFit="1" customWidth="1"/>
    <col min="8192" max="8192" width="13.42578125" style="128" bestFit="1" customWidth="1"/>
    <col min="8193" max="8193" width="9.42578125" style="128"/>
    <col min="8194" max="8194" width="9.5703125" style="128" bestFit="1" customWidth="1"/>
    <col min="8195" max="8440" width="9.42578125" style="128"/>
    <col min="8441" max="8441" width="4.85546875" style="128" customWidth="1"/>
    <col min="8442" max="8442" width="29.5703125" style="128" customWidth="1"/>
    <col min="8443" max="8443" width="11.28515625" style="128" bestFit="1" customWidth="1"/>
    <col min="8444" max="8444" width="12.28515625" style="128" bestFit="1" customWidth="1"/>
    <col min="8445" max="8447" width="10" style="128" bestFit="1" customWidth="1"/>
    <col min="8448" max="8448" width="13.42578125" style="128" bestFit="1" customWidth="1"/>
    <col min="8449" max="8449" width="9.42578125" style="128"/>
    <col min="8450" max="8450" width="9.5703125" style="128" bestFit="1" customWidth="1"/>
    <col min="8451" max="8696" width="9.42578125" style="128"/>
    <col min="8697" max="8697" width="4.85546875" style="128" customWidth="1"/>
    <col min="8698" max="8698" width="29.5703125" style="128" customWidth="1"/>
    <col min="8699" max="8699" width="11.28515625" style="128" bestFit="1" customWidth="1"/>
    <col min="8700" max="8700" width="12.28515625" style="128" bestFit="1" customWidth="1"/>
    <col min="8701" max="8703" width="10" style="128" bestFit="1" customWidth="1"/>
    <col min="8704" max="8704" width="13.42578125" style="128" bestFit="1" customWidth="1"/>
    <col min="8705" max="8705" width="9.42578125" style="128"/>
    <col min="8706" max="8706" width="9.5703125" style="128" bestFit="1" customWidth="1"/>
    <col min="8707" max="8952" width="9.42578125" style="128"/>
    <col min="8953" max="8953" width="4.85546875" style="128" customWidth="1"/>
    <col min="8954" max="8954" width="29.5703125" style="128" customWidth="1"/>
    <col min="8955" max="8955" width="11.28515625" style="128" bestFit="1" customWidth="1"/>
    <col min="8956" max="8956" width="12.28515625" style="128" bestFit="1" customWidth="1"/>
    <col min="8957" max="8959" width="10" style="128" bestFit="1" customWidth="1"/>
    <col min="8960" max="8960" width="13.42578125" style="128" bestFit="1" customWidth="1"/>
    <col min="8961" max="8961" width="9.42578125" style="128"/>
    <col min="8962" max="8962" width="9.5703125" style="128" bestFit="1" customWidth="1"/>
    <col min="8963" max="9208" width="9.42578125" style="128"/>
    <col min="9209" max="9209" width="4.85546875" style="128" customWidth="1"/>
    <col min="9210" max="9210" width="29.5703125" style="128" customWidth="1"/>
    <col min="9211" max="9211" width="11.28515625" style="128" bestFit="1" customWidth="1"/>
    <col min="9212" max="9212" width="12.28515625" style="128" bestFit="1" customWidth="1"/>
    <col min="9213" max="9215" width="10" style="128" bestFit="1" customWidth="1"/>
    <col min="9216" max="9216" width="13.42578125" style="128" bestFit="1" customWidth="1"/>
    <col min="9217" max="9217" width="9.42578125" style="128"/>
    <col min="9218" max="9218" width="9.5703125" style="128" bestFit="1" customWidth="1"/>
    <col min="9219" max="9464" width="9.42578125" style="128"/>
    <col min="9465" max="9465" width="4.85546875" style="128" customWidth="1"/>
    <col min="9466" max="9466" width="29.5703125" style="128" customWidth="1"/>
    <col min="9467" max="9467" width="11.28515625" style="128" bestFit="1" customWidth="1"/>
    <col min="9468" max="9468" width="12.28515625" style="128" bestFit="1" customWidth="1"/>
    <col min="9469" max="9471" width="10" style="128" bestFit="1" customWidth="1"/>
    <col min="9472" max="9472" width="13.42578125" style="128" bestFit="1" customWidth="1"/>
    <col min="9473" max="9473" width="9.42578125" style="128"/>
    <col min="9474" max="9474" width="9.5703125" style="128" bestFit="1" customWidth="1"/>
    <col min="9475" max="9720" width="9.42578125" style="128"/>
    <col min="9721" max="9721" width="4.85546875" style="128" customWidth="1"/>
    <col min="9722" max="9722" width="29.5703125" style="128" customWidth="1"/>
    <col min="9723" max="9723" width="11.28515625" style="128" bestFit="1" customWidth="1"/>
    <col min="9724" max="9724" width="12.28515625" style="128" bestFit="1" customWidth="1"/>
    <col min="9725" max="9727" width="10" style="128" bestFit="1" customWidth="1"/>
    <col min="9728" max="9728" width="13.42578125" style="128" bestFit="1" customWidth="1"/>
    <col min="9729" max="9729" width="9.42578125" style="128"/>
    <col min="9730" max="9730" width="9.5703125" style="128" bestFit="1" customWidth="1"/>
    <col min="9731" max="9976" width="9.42578125" style="128"/>
    <col min="9977" max="9977" width="4.85546875" style="128" customWidth="1"/>
    <col min="9978" max="9978" width="29.5703125" style="128" customWidth="1"/>
    <col min="9979" max="9979" width="11.28515625" style="128" bestFit="1" customWidth="1"/>
    <col min="9980" max="9980" width="12.28515625" style="128" bestFit="1" customWidth="1"/>
    <col min="9981" max="9983" width="10" style="128" bestFit="1" customWidth="1"/>
    <col min="9984" max="9984" width="13.42578125" style="128" bestFit="1" customWidth="1"/>
    <col min="9985" max="9985" width="9.42578125" style="128"/>
    <col min="9986" max="9986" width="9.5703125" style="128" bestFit="1" customWidth="1"/>
    <col min="9987" max="10232" width="9.42578125" style="128"/>
    <col min="10233" max="10233" width="4.85546875" style="128" customWidth="1"/>
    <col min="10234" max="10234" width="29.5703125" style="128" customWidth="1"/>
    <col min="10235" max="10235" width="11.28515625" style="128" bestFit="1" customWidth="1"/>
    <col min="10236" max="10236" width="12.28515625" style="128" bestFit="1" customWidth="1"/>
    <col min="10237" max="10239" width="10" style="128" bestFit="1" customWidth="1"/>
    <col min="10240" max="10240" width="13.42578125" style="128" bestFit="1" customWidth="1"/>
    <col min="10241" max="10241" width="9.42578125" style="128"/>
    <col min="10242" max="10242" width="9.5703125" style="128" bestFit="1" customWidth="1"/>
    <col min="10243" max="10488" width="9.42578125" style="128"/>
    <col min="10489" max="10489" width="4.85546875" style="128" customWidth="1"/>
    <col min="10490" max="10490" width="29.5703125" style="128" customWidth="1"/>
    <col min="10491" max="10491" width="11.28515625" style="128" bestFit="1" customWidth="1"/>
    <col min="10492" max="10492" width="12.28515625" style="128" bestFit="1" customWidth="1"/>
    <col min="10493" max="10495" width="10" style="128" bestFit="1" customWidth="1"/>
    <col min="10496" max="10496" width="13.42578125" style="128" bestFit="1" customWidth="1"/>
    <col min="10497" max="10497" width="9.42578125" style="128"/>
    <col min="10498" max="10498" width="9.5703125" style="128" bestFit="1" customWidth="1"/>
    <col min="10499" max="10744" width="9.42578125" style="128"/>
    <col min="10745" max="10745" width="4.85546875" style="128" customWidth="1"/>
    <col min="10746" max="10746" width="29.5703125" style="128" customWidth="1"/>
    <col min="10747" max="10747" width="11.28515625" style="128" bestFit="1" customWidth="1"/>
    <col min="10748" max="10748" width="12.28515625" style="128" bestFit="1" customWidth="1"/>
    <col min="10749" max="10751" width="10" style="128" bestFit="1" customWidth="1"/>
    <col min="10752" max="10752" width="13.42578125" style="128" bestFit="1" customWidth="1"/>
    <col min="10753" max="10753" width="9.42578125" style="128"/>
    <col min="10754" max="10754" width="9.5703125" style="128" bestFit="1" customWidth="1"/>
    <col min="10755" max="11000" width="9.42578125" style="128"/>
    <col min="11001" max="11001" width="4.85546875" style="128" customWidth="1"/>
    <col min="11002" max="11002" width="29.5703125" style="128" customWidth="1"/>
    <col min="11003" max="11003" width="11.28515625" style="128" bestFit="1" customWidth="1"/>
    <col min="11004" max="11004" width="12.28515625" style="128" bestFit="1" customWidth="1"/>
    <col min="11005" max="11007" width="10" style="128" bestFit="1" customWidth="1"/>
    <col min="11008" max="11008" width="13.42578125" style="128" bestFit="1" customWidth="1"/>
    <col min="11009" max="11009" width="9.42578125" style="128"/>
    <col min="11010" max="11010" width="9.5703125" style="128" bestFit="1" customWidth="1"/>
    <col min="11011" max="11256" width="9.42578125" style="128"/>
    <col min="11257" max="11257" width="4.85546875" style="128" customWidth="1"/>
    <col min="11258" max="11258" width="29.5703125" style="128" customWidth="1"/>
    <col min="11259" max="11259" width="11.28515625" style="128" bestFit="1" customWidth="1"/>
    <col min="11260" max="11260" width="12.28515625" style="128" bestFit="1" customWidth="1"/>
    <col min="11261" max="11263" width="10" style="128" bestFit="1" customWidth="1"/>
    <col min="11264" max="11264" width="13.42578125" style="128" bestFit="1" customWidth="1"/>
    <col min="11265" max="11265" width="9.42578125" style="128"/>
    <col min="11266" max="11266" width="9.5703125" style="128" bestFit="1" customWidth="1"/>
    <col min="11267" max="11512" width="9.42578125" style="128"/>
    <col min="11513" max="11513" width="4.85546875" style="128" customWidth="1"/>
    <col min="11514" max="11514" width="29.5703125" style="128" customWidth="1"/>
    <col min="11515" max="11515" width="11.28515625" style="128" bestFit="1" customWidth="1"/>
    <col min="11516" max="11516" width="12.28515625" style="128" bestFit="1" customWidth="1"/>
    <col min="11517" max="11519" width="10" style="128" bestFit="1" customWidth="1"/>
    <col min="11520" max="11520" width="13.42578125" style="128" bestFit="1" customWidth="1"/>
    <col min="11521" max="11521" width="9.42578125" style="128"/>
    <col min="11522" max="11522" width="9.5703125" style="128" bestFit="1" customWidth="1"/>
    <col min="11523" max="11768" width="9.42578125" style="128"/>
    <col min="11769" max="11769" width="4.85546875" style="128" customWidth="1"/>
    <col min="11770" max="11770" width="29.5703125" style="128" customWidth="1"/>
    <col min="11771" max="11771" width="11.28515625" style="128" bestFit="1" customWidth="1"/>
    <col min="11772" max="11772" width="12.28515625" style="128" bestFit="1" customWidth="1"/>
    <col min="11773" max="11775" width="10" style="128" bestFit="1" customWidth="1"/>
    <col min="11776" max="11776" width="13.42578125" style="128" bestFit="1" customWidth="1"/>
    <col min="11777" max="11777" width="9.42578125" style="128"/>
    <col min="11778" max="11778" width="9.5703125" style="128" bestFit="1" customWidth="1"/>
    <col min="11779" max="12024" width="9.42578125" style="128"/>
    <col min="12025" max="12025" width="4.85546875" style="128" customWidth="1"/>
    <col min="12026" max="12026" width="29.5703125" style="128" customWidth="1"/>
    <col min="12027" max="12027" width="11.28515625" style="128" bestFit="1" customWidth="1"/>
    <col min="12028" max="12028" width="12.28515625" style="128" bestFit="1" customWidth="1"/>
    <col min="12029" max="12031" width="10" style="128" bestFit="1" customWidth="1"/>
    <col min="12032" max="12032" width="13.42578125" style="128" bestFit="1" customWidth="1"/>
    <col min="12033" max="12033" width="9.42578125" style="128"/>
    <col min="12034" max="12034" width="9.5703125" style="128" bestFit="1" customWidth="1"/>
    <col min="12035" max="12280" width="9.42578125" style="128"/>
    <col min="12281" max="12281" width="4.85546875" style="128" customWidth="1"/>
    <col min="12282" max="12282" width="29.5703125" style="128" customWidth="1"/>
    <col min="12283" max="12283" width="11.28515625" style="128" bestFit="1" customWidth="1"/>
    <col min="12284" max="12284" width="12.28515625" style="128" bestFit="1" customWidth="1"/>
    <col min="12285" max="12287" width="10" style="128" bestFit="1" customWidth="1"/>
    <col min="12288" max="12288" width="13.42578125" style="128" bestFit="1" customWidth="1"/>
    <col min="12289" max="12289" width="9.42578125" style="128"/>
    <col min="12290" max="12290" width="9.5703125" style="128" bestFit="1" customWidth="1"/>
    <col min="12291" max="12536" width="9.42578125" style="128"/>
    <col min="12537" max="12537" width="4.85546875" style="128" customWidth="1"/>
    <col min="12538" max="12538" width="29.5703125" style="128" customWidth="1"/>
    <col min="12539" max="12539" width="11.28515625" style="128" bestFit="1" customWidth="1"/>
    <col min="12540" max="12540" width="12.28515625" style="128" bestFit="1" customWidth="1"/>
    <col min="12541" max="12543" width="10" style="128" bestFit="1" customWidth="1"/>
    <col min="12544" max="12544" width="13.42578125" style="128" bestFit="1" customWidth="1"/>
    <col min="12545" max="12545" width="9.42578125" style="128"/>
    <col min="12546" max="12546" width="9.5703125" style="128" bestFit="1" customWidth="1"/>
    <col min="12547" max="12792" width="9.42578125" style="128"/>
    <col min="12793" max="12793" width="4.85546875" style="128" customWidth="1"/>
    <col min="12794" max="12794" width="29.5703125" style="128" customWidth="1"/>
    <col min="12795" max="12795" width="11.28515625" style="128" bestFit="1" customWidth="1"/>
    <col min="12796" max="12796" width="12.28515625" style="128" bestFit="1" customWidth="1"/>
    <col min="12797" max="12799" width="10" style="128" bestFit="1" customWidth="1"/>
    <col min="12800" max="12800" width="13.42578125" style="128" bestFit="1" customWidth="1"/>
    <col min="12801" max="12801" width="9.42578125" style="128"/>
    <col min="12802" max="12802" width="9.5703125" style="128" bestFit="1" customWidth="1"/>
    <col min="12803" max="13048" width="9.42578125" style="128"/>
    <col min="13049" max="13049" width="4.85546875" style="128" customWidth="1"/>
    <col min="13050" max="13050" width="29.5703125" style="128" customWidth="1"/>
    <col min="13051" max="13051" width="11.28515625" style="128" bestFit="1" customWidth="1"/>
    <col min="13052" max="13052" width="12.28515625" style="128" bestFit="1" customWidth="1"/>
    <col min="13053" max="13055" width="10" style="128" bestFit="1" customWidth="1"/>
    <col min="13056" max="13056" width="13.42578125" style="128" bestFit="1" customWidth="1"/>
    <col min="13057" max="13057" width="9.42578125" style="128"/>
    <col min="13058" max="13058" width="9.5703125" style="128" bestFit="1" customWidth="1"/>
    <col min="13059" max="13304" width="9.42578125" style="128"/>
    <col min="13305" max="13305" width="4.85546875" style="128" customWidth="1"/>
    <col min="13306" max="13306" width="29.5703125" style="128" customWidth="1"/>
    <col min="13307" max="13307" width="11.28515625" style="128" bestFit="1" customWidth="1"/>
    <col min="13308" max="13308" width="12.28515625" style="128" bestFit="1" customWidth="1"/>
    <col min="13309" max="13311" width="10" style="128" bestFit="1" customWidth="1"/>
    <col min="13312" max="13312" width="13.42578125" style="128" bestFit="1" customWidth="1"/>
    <col min="13313" max="13313" width="9.42578125" style="128"/>
    <col min="13314" max="13314" width="9.5703125" style="128" bestFit="1" customWidth="1"/>
    <col min="13315" max="13560" width="9.42578125" style="128"/>
    <col min="13561" max="13561" width="4.85546875" style="128" customWidth="1"/>
    <col min="13562" max="13562" width="29.5703125" style="128" customWidth="1"/>
    <col min="13563" max="13563" width="11.28515625" style="128" bestFit="1" customWidth="1"/>
    <col min="13564" max="13564" width="12.28515625" style="128" bestFit="1" customWidth="1"/>
    <col min="13565" max="13567" width="10" style="128" bestFit="1" customWidth="1"/>
    <col min="13568" max="13568" width="13.42578125" style="128" bestFit="1" customWidth="1"/>
    <col min="13569" max="13569" width="9.42578125" style="128"/>
    <col min="13570" max="13570" width="9.5703125" style="128" bestFit="1" customWidth="1"/>
    <col min="13571" max="13816" width="9.42578125" style="128"/>
    <col min="13817" max="13817" width="4.85546875" style="128" customWidth="1"/>
    <col min="13818" max="13818" width="29.5703125" style="128" customWidth="1"/>
    <col min="13819" max="13819" width="11.28515625" style="128" bestFit="1" customWidth="1"/>
    <col min="13820" max="13820" width="12.28515625" style="128" bestFit="1" customWidth="1"/>
    <col min="13821" max="13823" width="10" style="128" bestFit="1" customWidth="1"/>
    <col min="13824" max="13824" width="13.42578125" style="128" bestFit="1" customWidth="1"/>
    <col min="13825" max="13825" width="9.42578125" style="128"/>
    <col min="13826" max="13826" width="9.5703125" style="128" bestFit="1" customWidth="1"/>
    <col min="13827" max="14072" width="9.42578125" style="128"/>
    <col min="14073" max="14073" width="4.85546875" style="128" customWidth="1"/>
    <col min="14074" max="14074" width="29.5703125" style="128" customWidth="1"/>
    <col min="14075" max="14075" width="11.28515625" style="128" bestFit="1" customWidth="1"/>
    <col min="14076" max="14076" width="12.28515625" style="128" bestFit="1" customWidth="1"/>
    <col min="14077" max="14079" width="10" style="128" bestFit="1" customWidth="1"/>
    <col min="14080" max="14080" width="13.42578125" style="128" bestFit="1" customWidth="1"/>
    <col min="14081" max="14081" width="9.42578125" style="128"/>
    <col min="14082" max="14082" width="9.5703125" style="128" bestFit="1" customWidth="1"/>
    <col min="14083" max="14328" width="9.42578125" style="128"/>
    <col min="14329" max="14329" width="4.85546875" style="128" customWidth="1"/>
    <col min="14330" max="14330" width="29.5703125" style="128" customWidth="1"/>
    <col min="14331" max="14331" width="11.28515625" style="128" bestFit="1" customWidth="1"/>
    <col min="14332" max="14332" width="12.28515625" style="128" bestFit="1" customWidth="1"/>
    <col min="14333" max="14335" width="10" style="128" bestFit="1" customWidth="1"/>
    <col min="14336" max="14336" width="13.42578125" style="128" bestFit="1" customWidth="1"/>
    <col min="14337" max="14337" width="9.42578125" style="128"/>
    <col min="14338" max="14338" width="9.5703125" style="128" bestFit="1" customWidth="1"/>
    <col min="14339" max="14584" width="9.42578125" style="128"/>
    <col min="14585" max="14585" width="4.85546875" style="128" customWidth="1"/>
    <col min="14586" max="14586" width="29.5703125" style="128" customWidth="1"/>
    <col min="14587" max="14587" width="11.28515625" style="128" bestFit="1" customWidth="1"/>
    <col min="14588" max="14588" width="12.28515625" style="128" bestFit="1" customWidth="1"/>
    <col min="14589" max="14591" width="10" style="128" bestFit="1" customWidth="1"/>
    <col min="14592" max="14592" width="13.42578125" style="128" bestFit="1" customWidth="1"/>
    <col min="14593" max="14593" width="9.42578125" style="128"/>
    <col min="14594" max="14594" width="9.5703125" style="128" bestFit="1" customWidth="1"/>
    <col min="14595" max="14840" width="9.42578125" style="128"/>
    <col min="14841" max="14841" width="4.85546875" style="128" customWidth="1"/>
    <col min="14842" max="14842" width="29.5703125" style="128" customWidth="1"/>
    <col min="14843" max="14843" width="11.28515625" style="128" bestFit="1" customWidth="1"/>
    <col min="14844" max="14844" width="12.28515625" style="128" bestFit="1" customWidth="1"/>
    <col min="14845" max="14847" width="10" style="128" bestFit="1" customWidth="1"/>
    <col min="14848" max="14848" width="13.42578125" style="128" bestFit="1" customWidth="1"/>
    <col min="14849" max="14849" width="9.42578125" style="128"/>
    <col min="14850" max="14850" width="9.5703125" style="128" bestFit="1" customWidth="1"/>
    <col min="14851" max="15096" width="9.42578125" style="128"/>
    <col min="15097" max="15097" width="4.85546875" style="128" customWidth="1"/>
    <col min="15098" max="15098" width="29.5703125" style="128" customWidth="1"/>
    <col min="15099" max="15099" width="11.28515625" style="128" bestFit="1" customWidth="1"/>
    <col min="15100" max="15100" width="12.28515625" style="128" bestFit="1" customWidth="1"/>
    <col min="15101" max="15103" width="10" style="128" bestFit="1" customWidth="1"/>
    <col min="15104" max="15104" width="13.42578125" style="128" bestFit="1" customWidth="1"/>
    <col min="15105" max="15105" width="9.42578125" style="128"/>
    <col min="15106" max="15106" width="9.5703125" style="128" bestFit="1" customWidth="1"/>
    <col min="15107" max="15352" width="9.42578125" style="128"/>
    <col min="15353" max="15353" width="4.85546875" style="128" customWidth="1"/>
    <col min="15354" max="15354" width="29.5703125" style="128" customWidth="1"/>
    <col min="15355" max="15355" width="11.28515625" style="128" bestFit="1" customWidth="1"/>
    <col min="15356" max="15356" width="12.28515625" style="128" bestFit="1" customWidth="1"/>
    <col min="15357" max="15359" width="10" style="128" bestFit="1" customWidth="1"/>
    <col min="15360" max="15360" width="13.42578125" style="128" bestFit="1" customWidth="1"/>
    <col min="15361" max="15361" width="9.42578125" style="128"/>
    <col min="15362" max="15362" width="9.5703125" style="128" bestFit="1" customWidth="1"/>
    <col min="15363" max="15608" width="9.42578125" style="128"/>
    <col min="15609" max="15609" width="4.85546875" style="128" customWidth="1"/>
    <col min="15610" max="15610" width="29.5703125" style="128" customWidth="1"/>
    <col min="15611" max="15611" width="11.28515625" style="128" bestFit="1" customWidth="1"/>
    <col min="15612" max="15612" width="12.28515625" style="128" bestFit="1" customWidth="1"/>
    <col min="15613" max="15615" width="10" style="128" bestFit="1" customWidth="1"/>
    <col min="15616" max="15616" width="13.42578125" style="128" bestFit="1" customWidth="1"/>
    <col min="15617" max="15617" width="9.42578125" style="128"/>
    <col min="15618" max="15618" width="9.5703125" style="128" bestFit="1" customWidth="1"/>
    <col min="15619" max="15864" width="9.42578125" style="128"/>
    <col min="15865" max="15865" width="4.85546875" style="128" customWidth="1"/>
    <col min="15866" max="15866" width="29.5703125" style="128" customWidth="1"/>
    <col min="15867" max="15867" width="11.28515625" style="128" bestFit="1" customWidth="1"/>
    <col min="15868" max="15868" width="12.28515625" style="128" bestFit="1" customWidth="1"/>
    <col min="15869" max="15871" width="10" style="128" bestFit="1" customWidth="1"/>
    <col min="15872" max="15872" width="13.42578125" style="128" bestFit="1" customWidth="1"/>
    <col min="15873" max="15873" width="9.42578125" style="128"/>
    <col min="15874" max="15874" width="9.5703125" style="128" bestFit="1" customWidth="1"/>
    <col min="15875" max="16120" width="9.42578125" style="128"/>
    <col min="16121" max="16121" width="4.85546875" style="128" customWidth="1"/>
    <col min="16122" max="16122" width="29.5703125" style="128" customWidth="1"/>
    <col min="16123" max="16123" width="11.28515625" style="128" bestFit="1" customWidth="1"/>
    <col min="16124" max="16124" width="12.28515625" style="128" bestFit="1" customWidth="1"/>
    <col min="16125" max="16127" width="10" style="128" bestFit="1" customWidth="1"/>
    <col min="16128" max="16128" width="13.42578125" style="128" bestFit="1" customWidth="1"/>
    <col min="16129" max="16129" width="9.42578125" style="128"/>
    <col min="16130" max="16130" width="9.5703125" style="128" bestFit="1" customWidth="1"/>
    <col min="16131" max="16384" width="9.42578125" style="128"/>
  </cols>
  <sheetData>
    <row r="1" spans="1:20" x14ac:dyDescent="0.25">
      <c r="A1" s="128" t="s">
        <v>88</v>
      </c>
      <c r="B1" s="132">
        <v>2012</v>
      </c>
      <c r="C1" s="132">
        <v>2013</v>
      </c>
      <c r="D1" s="132">
        <v>2014</v>
      </c>
      <c r="E1" s="132">
        <v>2015</v>
      </c>
      <c r="F1" s="132">
        <v>2016</v>
      </c>
      <c r="G1" s="132">
        <v>2017</v>
      </c>
      <c r="H1" s="132">
        <v>2018</v>
      </c>
      <c r="I1" s="132">
        <v>2019</v>
      </c>
      <c r="J1" s="132">
        <v>2020</v>
      </c>
      <c r="K1" s="132">
        <v>2021</v>
      </c>
      <c r="L1" s="132">
        <v>2022</v>
      </c>
      <c r="M1" s="132">
        <v>2023</v>
      </c>
      <c r="N1" s="132">
        <v>2024</v>
      </c>
      <c r="O1" s="132">
        <v>2025</v>
      </c>
      <c r="P1" s="132">
        <v>2026</v>
      </c>
      <c r="Q1" s="132">
        <v>2027</v>
      </c>
      <c r="R1" s="132">
        <v>2028</v>
      </c>
      <c r="S1" s="132">
        <v>2029</v>
      </c>
      <c r="T1" s="132">
        <v>2030</v>
      </c>
    </row>
    <row r="2" spans="1:20" x14ac:dyDescent="0.25">
      <c r="A2" s="130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x14ac:dyDescent="0.25">
      <c r="A3" s="128" t="s">
        <v>134</v>
      </c>
    </row>
    <row r="4" spans="1:20" x14ac:dyDescent="0.25">
      <c r="A4" s="128" t="s">
        <v>11</v>
      </c>
      <c r="C4" s="132">
        <f>Proforma!I22</f>
        <v>54436.625540963571</v>
      </c>
      <c r="D4" s="132">
        <f>Proforma!K22</f>
        <v>56069.724307192482</v>
      </c>
      <c r="E4" s="132">
        <f>Proforma!L22</f>
        <v>57751.816036408258</v>
      </c>
      <c r="F4" s="132">
        <f>Proforma!M22</f>
        <v>59484.370517500509</v>
      </c>
      <c r="G4" s="132">
        <f>Proforma!N22</f>
        <v>61268.901633025518</v>
      </c>
      <c r="H4" s="132">
        <f>Proforma!O22</f>
        <v>63106.96868201629</v>
      </c>
      <c r="I4" s="132">
        <f>Proforma!P22</f>
        <v>65000.177742476786</v>
      </c>
      <c r="J4" s="132">
        <f>Proforma!Q22</f>
        <v>66950.183074751083</v>
      </c>
      <c r="K4" s="132">
        <f>Proforma!R22</f>
        <v>68958.688566993616</v>
      </c>
      <c r="L4" s="132">
        <f>Proforma!S22</f>
        <v>71027.449224003431</v>
      </c>
      <c r="M4" s="132">
        <f>Proforma!T22</f>
        <v>73158.272700723537</v>
      </c>
      <c r="N4" s="132">
        <f>Proforma!U22</f>
        <v>75353.020881745251</v>
      </c>
      <c r="O4" s="132">
        <f>Proforma!V22</f>
        <v>77613.611508197588</v>
      </c>
      <c r="P4" s="132">
        <f>Proforma!W22</f>
        <v>79942.019853443548</v>
      </c>
      <c r="Q4" s="132">
        <f>Proforma!X22</f>
        <v>82340.280449046841</v>
      </c>
      <c r="R4" s="132">
        <f>Proforma!Y22</f>
        <v>84810.488862518236</v>
      </c>
      <c r="S4" s="132">
        <f>Proforma!Z22</f>
        <v>87354.803528393779</v>
      </c>
      <c r="T4" s="132">
        <f>Proforma!AA22</f>
        <v>89975.447634245604</v>
      </c>
    </row>
    <row r="5" spans="1:20" x14ac:dyDescent="0.25">
      <c r="A5" s="128" t="s">
        <v>158</v>
      </c>
      <c r="C5" s="132">
        <f>Proforma!I15</f>
        <v>61179.708764641829</v>
      </c>
      <c r="D5" s="132">
        <f>Proforma!K15</f>
        <v>60329.268591198808</v>
      </c>
      <c r="E5" s="132">
        <f>Proforma!L15</f>
        <v>59430.856907185953</v>
      </c>
      <c r="F5" s="132">
        <f>Proforma!M15</f>
        <v>58481.76774233258</v>
      </c>
      <c r="G5" s="132">
        <f>Proforma!N15</f>
        <v>57479.142488374731</v>
      </c>
      <c r="H5" s="132">
        <f>Proforma!O15</f>
        <v>56419.961289072606</v>
      </c>
      <c r="I5" s="132">
        <f>Proforma!P15</f>
        <v>55301.033944557275</v>
      </c>
      <c r="J5" s="132">
        <f>Proforma!Q15</f>
        <v>54118.990302610968</v>
      </c>
      <c r="K5" s="132">
        <f>Proforma!R15</f>
        <v>52870.270107940138</v>
      </c>
      <c r="L5" s="132">
        <f>Proforma!S15</f>
        <v>51551.112278867717</v>
      </c>
      <c r="M5" s="132">
        <f>Proforma!T15</f>
        <v>50157.543579146492</v>
      </c>
      <c r="N5" s="132">
        <f>Proforma!U15</f>
        <v>48685.366650773751</v>
      </c>
      <c r="O5" s="132">
        <f>Proforma!V15</f>
        <v>47130.147371762556</v>
      </c>
      <c r="P5" s="132">
        <f>Proforma!W15</f>
        <v>45487.201500791998</v>
      </c>
      <c r="Q5" s="132">
        <f>Proforma!X15</f>
        <v>43751.580568510741</v>
      </c>
      <c r="R5" s="132">
        <f>Proforma!Y15</f>
        <v>41918.056972999155</v>
      </c>
      <c r="S5" s="132">
        <f>Proforma!Z15</f>
        <v>39981.108234498366</v>
      </c>
      <c r="T5" s="132">
        <f>Proforma!AA15</f>
        <v>37934.900361982283</v>
      </c>
    </row>
    <row r="6" spans="1:20" x14ac:dyDescent="0.25">
      <c r="A6" s="128" t="s">
        <v>159</v>
      </c>
      <c r="B6" s="128"/>
      <c r="C6" s="132">
        <f>Proforma!I21</f>
        <v>9606.4633307582772</v>
      </c>
      <c r="D6" s="132">
        <f>Proforma!K21</f>
        <v>9894.6572306810249</v>
      </c>
      <c r="E6" s="132">
        <f>Proforma!L21</f>
        <v>10191.496947601456</v>
      </c>
      <c r="F6" s="132">
        <f>Proforma!M21</f>
        <v>10497.241856029501</v>
      </c>
      <c r="G6" s="132">
        <f>Proforma!N21</f>
        <v>10812.159111710385</v>
      </c>
      <c r="H6" s="132">
        <f>Proforma!O21</f>
        <v>11136.523885061697</v>
      </c>
      <c r="I6" s="132">
        <f>Proforma!P21</f>
        <v>11470.619601613549</v>
      </c>
      <c r="J6" s="132">
        <f>Proforma!Q21</f>
        <v>11814.738189661955</v>
      </c>
      <c r="K6" s="132">
        <f>Proforma!R21</f>
        <v>12169.180335351813</v>
      </c>
      <c r="L6" s="132">
        <f>Proforma!S21</f>
        <v>12534.255745412369</v>
      </c>
      <c r="M6" s="132">
        <f>Proforma!T21</f>
        <v>12910.283417774741</v>
      </c>
      <c r="N6" s="132">
        <f>Proforma!U21</f>
        <v>13297.591920307985</v>
      </c>
      <c r="O6" s="132">
        <f>Proforma!V21</f>
        <v>13696.519677917222</v>
      </c>
      <c r="P6" s="132">
        <f>Proforma!W21</f>
        <v>14107.415268254741</v>
      </c>
      <c r="Q6" s="132">
        <f>Proforma!X21</f>
        <v>14530.637726302382</v>
      </c>
      <c r="R6" s="132">
        <f>Proforma!Y21</f>
        <v>14966.556858091451</v>
      </c>
      <c r="S6" s="132">
        <f>Proforma!Z21</f>
        <v>15415.553563834195</v>
      </c>
      <c r="T6" s="132">
        <f>Proforma!AA21</f>
        <v>15878.020170749223</v>
      </c>
    </row>
    <row r="7" spans="1:20" x14ac:dyDescent="0.25">
      <c r="A7" s="128" t="s">
        <v>123</v>
      </c>
      <c r="C7" s="132">
        <f t="shared" ref="C7" si="0">SUM(C4:C6)</f>
        <v>125222.79763636368</v>
      </c>
      <c r="D7" s="132">
        <f t="shared" ref="D7" si="1">SUM(D4:D6)</f>
        <v>126293.65012907232</v>
      </c>
      <c r="E7" s="132">
        <f t="shared" ref="E7:T7" si="2">SUM(E4:E6)</f>
        <v>127374.16989119566</v>
      </c>
      <c r="F7" s="132">
        <f t="shared" si="2"/>
        <v>128463.3801158626</v>
      </c>
      <c r="G7" s="132">
        <f t="shared" si="2"/>
        <v>129560.20323311063</v>
      </c>
      <c r="H7" s="132">
        <f t="shared" si="2"/>
        <v>130663.45385615059</v>
      </c>
      <c r="I7" s="132">
        <f t="shared" si="2"/>
        <v>131771.83128864761</v>
      </c>
      <c r="J7" s="132">
        <f t="shared" si="2"/>
        <v>132883.91156702401</v>
      </c>
      <c r="K7" s="132">
        <f t="shared" si="2"/>
        <v>133998.13901028558</v>
      </c>
      <c r="L7" s="132">
        <f t="shared" si="2"/>
        <v>135112.81724828351</v>
      </c>
      <c r="M7" s="132">
        <f t="shared" si="2"/>
        <v>136226.09969764476</v>
      </c>
      <c r="N7" s="132">
        <f t="shared" si="2"/>
        <v>137335.97945282698</v>
      </c>
      <c r="O7" s="132">
        <f t="shared" si="2"/>
        <v>138440.27855787735</v>
      </c>
      <c r="P7" s="132">
        <f t="shared" si="2"/>
        <v>139536.63662249027</v>
      </c>
      <c r="Q7" s="132">
        <f t="shared" si="2"/>
        <v>140622.49874385996</v>
      </c>
      <c r="R7" s="132">
        <f t="shared" si="2"/>
        <v>141695.10269360885</v>
      </c>
      <c r="S7" s="132">
        <f t="shared" si="2"/>
        <v>142751.46532672635</v>
      </c>
      <c r="T7" s="132">
        <f t="shared" si="2"/>
        <v>143788.3681669771</v>
      </c>
    </row>
    <row r="8" spans="1:20" x14ac:dyDescent="0.25">
      <c r="A8" s="128" t="s">
        <v>139</v>
      </c>
      <c r="C8" s="132">
        <f>Proforma!I10+Proforma!I13</f>
        <v>46983.142363636362</v>
      </c>
      <c r="D8" s="132">
        <f>Proforma!K10+Proforma!K13</f>
        <v>46983.142363636362</v>
      </c>
      <c r="E8" s="132">
        <f>Proforma!L10+Proforma!L13</f>
        <v>46983.142363636362</v>
      </c>
      <c r="F8" s="132">
        <f>Proforma!M10+Proforma!M13</f>
        <v>46983.142363636362</v>
      </c>
      <c r="G8" s="132">
        <f>Proforma!N10+Proforma!N13</f>
        <v>46983.142363636362</v>
      </c>
      <c r="H8" s="132">
        <f>Proforma!O10+Proforma!O13</f>
        <v>39963.63636363636</v>
      </c>
      <c r="I8" s="132">
        <f>Proforma!P10+Proforma!P13</f>
        <v>39963.63636363636</v>
      </c>
      <c r="J8" s="132">
        <f>Proforma!Q10+Proforma!Q13</f>
        <v>39963.63636363636</v>
      </c>
      <c r="K8" s="132">
        <f>Proforma!R10+Proforma!R13</f>
        <v>48855.736550557223</v>
      </c>
      <c r="L8" s="132">
        <f>Proforma!S10+Proforma!S13</f>
        <v>48855.736550557223</v>
      </c>
      <c r="M8" s="132">
        <f>Proforma!T10+Proforma!T13</f>
        <v>48855.736550557223</v>
      </c>
      <c r="N8" s="132">
        <f>Proforma!U10+Proforma!U13</f>
        <v>48855.736550557223</v>
      </c>
      <c r="O8" s="132">
        <f>Proforma!V10+Proforma!V13</f>
        <v>48855.736550557223</v>
      </c>
      <c r="P8" s="132">
        <f>Proforma!W10+Proforma!W13</f>
        <v>39963.63636363636</v>
      </c>
      <c r="Q8" s="132">
        <f>Proforma!X10+Proforma!X13</f>
        <v>39963.63636363636</v>
      </c>
      <c r="R8" s="132">
        <f>Proforma!Y10+Proforma!Y13</f>
        <v>39963.63636363636</v>
      </c>
      <c r="S8" s="132">
        <f>Proforma!Z10+Proforma!Z13</f>
        <v>51227.882841128929</v>
      </c>
      <c r="T8" s="132">
        <f>Proforma!AA10+Proforma!AA13</f>
        <v>51227.882841128929</v>
      </c>
    </row>
    <row r="9" spans="1:20" x14ac:dyDescent="0.25">
      <c r="A9" s="128" t="s">
        <v>140</v>
      </c>
      <c r="C9" s="132">
        <f>C7-C8</f>
        <v>78239.655272727323</v>
      </c>
      <c r="D9" s="132">
        <f>D7-D8</f>
        <v>79310.507765435963</v>
      </c>
      <c r="E9" s="132">
        <f t="shared" ref="E9:T9" si="3">E7-E8</f>
        <v>80391.027527559301</v>
      </c>
      <c r="F9" s="132">
        <f t="shared" si="3"/>
        <v>81480.23775222624</v>
      </c>
      <c r="G9" s="132">
        <f t="shared" si="3"/>
        <v>82577.06086947427</v>
      </c>
      <c r="H9" s="132">
        <f t="shared" si="3"/>
        <v>90699.817492514238</v>
      </c>
      <c r="I9" s="132">
        <f t="shared" si="3"/>
        <v>91808.194925011252</v>
      </c>
      <c r="J9" s="132">
        <f t="shared" si="3"/>
        <v>92920.27520338766</v>
      </c>
      <c r="K9" s="132">
        <f t="shared" si="3"/>
        <v>85142.402459728357</v>
      </c>
      <c r="L9" s="132">
        <f t="shared" si="3"/>
        <v>86257.080697726284</v>
      </c>
      <c r="M9" s="132">
        <f t="shared" si="3"/>
        <v>87370.363147087541</v>
      </c>
      <c r="N9" s="132">
        <f t="shared" si="3"/>
        <v>88480.242902269762</v>
      </c>
      <c r="O9" s="132">
        <f t="shared" si="3"/>
        <v>89584.542007320124</v>
      </c>
      <c r="P9" s="132">
        <f t="shared" si="3"/>
        <v>99573.000258853921</v>
      </c>
      <c r="Q9" s="132">
        <f t="shared" si="3"/>
        <v>100658.86238022361</v>
      </c>
      <c r="R9" s="132">
        <f t="shared" si="3"/>
        <v>101731.46632997249</v>
      </c>
      <c r="S9" s="132">
        <f t="shared" si="3"/>
        <v>91523.582485597421</v>
      </c>
      <c r="T9" s="132">
        <f t="shared" si="3"/>
        <v>92560.485325848174</v>
      </c>
    </row>
    <row r="10" spans="1:20" x14ac:dyDescent="0.25">
      <c r="A10" s="128" t="s">
        <v>146</v>
      </c>
      <c r="C10" s="132">
        <f>C9*0.15</f>
        <v>11735.948290909098</v>
      </c>
      <c r="D10" s="132">
        <f>D9*0.15</f>
        <v>11896.576164815395</v>
      </c>
      <c r="E10" s="132">
        <f t="shared" ref="E10:T10" si="4">E9*0.15</f>
        <v>12058.654129133894</v>
      </c>
      <c r="F10" s="132">
        <f t="shared" si="4"/>
        <v>12222.035662833936</v>
      </c>
      <c r="G10" s="132">
        <f t="shared" si="4"/>
        <v>12386.559130421139</v>
      </c>
      <c r="H10" s="132">
        <f t="shared" si="4"/>
        <v>13604.972623877135</v>
      </c>
      <c r="I10" s="132">
        <f t="shared" si="4"/>
        <v>13771.229238751688</v>
      </c>
      <c r="J10" s="132">
        <f t="shared" si="4"/>
        <v>13938.041280508149</v>
      </c>
      <c r="K10" s="132">
        <f t="shared" si="4"/>
        <v>12771.360368959253</v>
      </c>
      <c r="L10" s="132">
        <f t="shared" si="4"/>
        <v>12938.562104658942</v>
      </c>
      <c r="M10" s="132">
        <f t="shared" si="4"/>
        <v>13105.554472063131</v>
      </c>
      <c r="N10" s="132">
        <f t="shared" si="4"/>
        <v>13272.036435340464</v>
      </c>
      <c r="O10" s="132">
        <f t="shared" si="4"/>
        <v>13437.681301098019</v>
      </c>
      <c r="P10" s="132">
        <f t="shared" si="4"/>
        <v>14935.950038828087</v>
      </c>
      <c r="Q10" s="132">
        <f t="shared" si="4"/>
        <v>15098.829357033541</v>
      </c>
      <c r="R10" s="132">
        <f t="shared" si="4"/>
        <v>15259.719949495873</v>
      </c>
      <c r="S10" s="132">
        <f t="shared" si="4"/>
        <v>13728.537372839613</v>
      </c>
      <c r="T10" s="132">
        <f t="shared" si="4"/>
        <v>13884.072798877225</v>
      </c>
    </row>
    <row r="11" spans="1:20" x14ac:dyDescent="0.25">
      <c r="A11" s="128" t="s">
        <v>141</v>
      </c>
      <c r="C11" s="132">
        <f>C8</f>
        <v>46983.142363636362</v>
      </c>
      <c r="D11" s="132">
        <f>D8</f>
        <v>46983.142363636362</v>
      </c>
      <c r="E11" s="132">
        <f t="shared" ref="E11:T11" si="5">E8</f>
        <v>46983.142363636362</v>
      </c>
      <c r="F11" s="132">
        <f t="shared" si="5"/>
        <v>46983.142363636362</v>
      </c>
      <c r="G11" s="132">
        <f t="shared" si="5"/>
        <v>46983.142363636362</v>
      </c>
      <c r="H11" s="132">
        <f t="shared" si="5"/>
        <v>39963.63636363636</v>
      </c>
      <c r="I11" s="132">
        <f t="shared" si="5"/>
        <v>39963.63636363636</v>
      </c>
      <c r="J11" s="132">
        <f t="shared" si="5"/>
        <v>39963.63636363636</v>
      </c>
      <c r="K11" s="132">
        <f t="shared" si="5"/>
        <v>48855.736550557223</v>
      </c>
      <c r="L11" s="132">
        <f t="shared" si="5"/>
        <v>48855.736550557223</v>
      </c>
      <c r="M11" s="132">
        <f t="shared" si="5"/>
        <v>48855.736550557223</v>
      </c>
      <c r="N11" s="132">
        <f t="shared" si="5"/>
        <v>48855.736550557223</v>
      </c>
      <c r="O11" s="132">
        <f t="shared" si="5"/>
        <v>48855.736550557223</v>
      </c>
      <c r="P11" s="132">
        <f t="shared" si="5"/>
        <v>39963.63636363636</v>
      </c>
      <c r="Q11" s="132">
        <f t="shared" si="5"/>
        <v>39963.63636363636</v>
      </c>
      <c r="R11" s="132">
        <f t="shared" si="5"/>
        <v>39963.63636363636</v>
      </c>
      <c r="S11" s="132">
        <f t="shared" si="5"/>
        <v>51227.882841128929</v>
      </c>
      <c r="T11" s="132">
        <f t="shared" si="5"/>
        <v>51227.882841128929</v>
      </c>
    </row>
    <row r="13" spans="1:20" x14ac:dyDescent="0.25">
      <c r="A13" s="128" t="s">
        <v>142</v>
      </c>
      <c r="C13" s="129">
        <f>C9+C11-C10</f>
        <v>113486.84934545458</v>
      </c>
      <c r="D13" s="129">
        <f>D9+D11-D10</f>
        <v>114397.07396425692</v>
      </c>
      <c r="E13" s="129">
        <f t="shared" ref="E13:T13" si="6">E9+E11-E10</f>
        <v>115315.51576206177</v>
      </c>
      <c r="F13" s="129">
        <f t="shared" si="6"/>
        <v>116241.34445302867</v>
      </c>
      <c r="G13" s="129">
        <f t="shared" si="6"/>
        <v>117173.64410268949</v>
      </c>
      <c r="H13" s="129">
        <f t="shared" si="6"/>
        <v>117058.48123227345</v>
      </c>
      <c r="I13" s="129">
        <f t="shared" si="6"/>
        <v>118000.60204989591</v>
      </c>
      <c r="J13" s="129">
        <f t="shared" si="6"/>
        <v>118945.87028651587</v>
      </c>
      <c r="K13" s="129">
        <f t="shared" si="6"/>
        <v>121226.77864132632</v>
      </c>
      <c r="L13" s="129">
        <f t="shared" si="6"/>
        <v>122174.25514362457</v>
      </c>
      <c r="M13" s="129">
        <f t="shared" si="6"/>
        <v>123120.54522558163</v>
      </c>
      <c r="N13" s="129">
        <f t="shared" si="6"/>
        <v>124063.94301748653</v>
      </c>
      <c r="O13" s="129">
        <f t="shared" si="6"/>
        <v>125002.59725677932</v>
      </c>
      <c r="P13" s="129">
        <f t="shared" si="6"/>
        <v>124600.68658366219</v>
      </c>
      <c r="Q13" s="129">
        <f t="shared" si="6"/>
        <v>125523.66938682643</v>
      </c>
      <c r="R13" s="129">
        <f t="shared" si="6"/>
        <v>126435.38274411297</v>
      </c>
      <c r="S13" s="129">
        <f t="shared" si="6"/>
        <v>129022.92795388674</v>
      </c>
      <c r="T13" s="129">
        <f t="shared" si="6"/>
        <v>129904.29536809988</v>
      </c>
    </row>
    <row r="15" spans="1:20" x14ac:dyDescent="0.25">
      <c r="A15" s="128" t="s">
        <v>143</v>
      </c>
    </row>
    <row r="16" spans="1:20" x14ac:dyDescent="0.25">
      <c r="A16" s="128" t="s">
        <v>160</v>
      </c>
      <c r="C16" s="132">
        <f t="shared" ref="C16:J16" si="7">C10-B10</f>
        <v>11735.948290909098</v>
      </c>
      <c r="D16" s="132">
        <f t="shared" si="7"/>
        <v>160.62787390629637</v>
      </c>
      <c r="E16" s="132">
        <f t="shared" si="7"/>
        <v>162.07796431849965</v>
      </c>
      <c r="F16" s="132">
        <f t="shared" si="7"/>
        <v>163.38153370004147</v>
      </c>
      <c r="G16" s="132">
        <f t="shared" si="7"/>
        <v>164.52346758720341</v>
      </c>
      <c r="H16" s="132">
        <f t="shared" si="7"/>
        <v>1218.4134934559952</v>
      </c>
      <c r="I16" s="132">
        <f t="shared" si="7"/>
        <v>166.25661487455363</v>
      </c>
      <c r="J16" s="132">
        <f t="shared" si="7"/>
        <v>166.81204175646053</v>
      </c>
      <c r="K16" s="132">
        <f t="shared" ref="K16:T16" si="8">K10-J10</f>
        <v>-1166.6809115488959</v>
      </c>
      <c r="L16" s="132">
        <f t="shared" si="8"/>
        <v>167.20173569968938</v>
      </c>
      <c r="M16" s="132">
        <f t="shared" si="8"/>
        <v>166.99236740418928</v>
      </c>
      <c r="N16" s="132">
        <f t="shared" si="8"/>
        <v>166.4819632773324</v>
      </c>
      <c r="O16" s="132">
        <f t="shared" si="8"/>
        <v>165.64486575755473</v>
      </c>
      <c r="P16" s="132">
        <f t="shared" si="8"/>
        <v>1498.2687377300681</v>
      </c>
      <c r="Q16" s="132">
        <f t="shared" si="8"/>
        <v>162.87931820545418</v>
      </c>
      <c r="R16" s="132">
        <f t="shared" si="8"/>
        <v>160.89059246233228</v>
      </c>
      <c r="S16" s="132">
        <f t="shared" si="8"/>
        <v>-1531.1825766562597</v>
      </c>
      <c r="T16" s="132">
        <f t="shared" si="8"/>
        <v>155.53542603761161</v>
      </c>
    </row>
    <row r="17" spans="1:20" x14ac:dyDescent="0.25">
      <c r="A17" s="128" t="s">
        <v>83</v>
      </c>
      <c r="B17" s="128"/>
      <c r="C17" s="132">
        <f>Proforma!I39</f>
        <v>8400</v>
      </c>
      <c r="D17" s="132">
        <f>Proforma!K39-Proforma!I39</f>
        <v>231.35348907294974</v>
      </c>
      <c r="E17" s="132">
        <f>Proforma!L39-Proforma!J39</f>
        <v>8867.2351042355003</v>
      </c>
      <c r="F17" s="132">
        <f>Proforma!M39-Proforma!K39</f>
        <v>476.30877849021999</v>
      </c>
      <c r="G17" s="132">
        <f>Proforma!N39-Proforma!L39</f>
        <v>485.36959121923974</v>
      </c>
      <c r="H17" s="132">
        <f>Proforma!O39-Proforma!M39</f>
        <v>494.40730261720637</v>
      </c>
      <c r="I17" s="132">
        <f>Proforma!P39-Proforma!N39</f>
        <v>503.40458351574853</v>
      </c>
      <c r="J17" s="132">
        <f>Proforma!Q39-Proforma!O39</f>
        <v>512.34264646302654</v>
      </c>
      <c r="K17" s="132">
        <f>Proforma!R39-Proforma!P39</f>
        <v>521.20114904163893</v>
      </c>
      <c r="L17" s="132">
        <f>Proforma!S39-Proforma!Q39</f>
        <v>529.95809130015914</v>
      </c>
      <c r="M17" s="132">
        <f>Proforma!T39-Proforma!R39</f>
        <v>538.58970695332027</v>
      </c>
      <c r="N17" s="132">
        <f>Proforma!U39-Proforma!S39</f>
        <v>547.07034798600944</v>
      </c>
      <c r="O17" s="132">
        <f>Proforma!V39-Proforma!T39</f>
        <v>555.3723622751786</v>
      </c>
      <c r="P17" s="132">
        <f>Proforma!W39-Proforma!U39</f>
        <v>563.46596382165808</v>
      </c>
      <c r="Q17" s="132">
        <f>Proforma!X39-Proforma!V39</f>
        <v>571.31909516039377</v>
      </c>
      <c r="R17" s="132">
        <f>Proforma!Y39-Proforma!W39</f>
        <v>578.8972814928602</v>
      </c>
      <c r="S17" s="132">
        <f>Proforma!Z39-Proforma!X39</f>
        <v>925.92563862872339</v>
      </c>
      <c r="T17" s="132">
        <f>Proforma!AA39-Proforma!Y39</f>
        <v>593.07789624030011</v>
      </c>
    </row>
    <row r="19" spans="1:20" x14ac:dyDescent="0.25">
      <c r="A19" s="128" t="s">
        <v>135</v>
      </c>
    </row>
    <row r="20" spans="1:20" x14ac:dyDescent="0.25">
      <c r="A20" s="128" t="s">
        <v>170</v>
      </c>
      <c r="B20" s="132">
        <f>-Proforma!I27</f>
        <v>-300000</v>
      </c>
    </row>
    <row r="21" spans="1:20" x14ac:dyDescent="0.25">
      <c r="A21" s="128" t="s">
        <v>171</v>
      </c>
      <c r="B21" s="132">
        <v>-1099000</v>
      </c>
    </row>
    <row r="22" spans="1:20" x14ac:dyDescent="0.25">
      <c r="A22" s="128" t="s">
        <v>147</v>
      </c>
      <c r="B22" s="132">
        <f>-Proforma!E33</f>
        <v>-35097.53</v>
      </c>
      <c r="J22" s="132">
        <f>-Proforma!E35</f>
        <v>-44460.500934604293</v>
      </c>
      <c r="R22" s="132">
        <f>-Proforma!E37</f>
        <v>-56321.232387462849</v>
      </c>
    </row>
    <row r="23" spans="1:20" x14ac:dyDescent="0.25">
      <c r="A23" s="128" t="s">
        <v>177</v>
      </c>
      <c r="T23" s="132">
        <f>-B20*2</f>
        <v>600000</v>
      </c>
    </row>
    <row r="24" spans="1:20" x14ac:dyDescent="0.25">
      <c r="A24" s="128" t="s">
        <v>161</v>
      </c>
      <c r="T24" s="132">
        <f>-B38-SUM(Proforma!AA29)</f>
        <v>329719.19539243134</v>
      </c>
    </row>
    <row r="25" spans="1:20" x14ac:dyDescent="0.25">
      <c r="A25" s="128" t="s">
        <v>178</v>
      </c>
      <c r="T25" s="132">
        <f>-(T23+B20)*0.35</f>
        <v>-105000</v>
      </c>
    </row>
    <row r="26" spans="1:20" x14ac:dyDescent="0.25">
      <c r="A26" s="128" t="s">
        <v>162</v>
      </c>
      <c r="K26" s="132">
        <f>-0.1*B22</f>
        <v>3509.7530000000002</v>
      </c>
      <c r="S26" s="132">
        <f>-0.1*J22</f>
        <v>4446.0500934604297</v>
      </c>
      <c r="T26" s="132">
        <f>Proforma!AA33</f>
        <v>33792.739432477712</v>
      </c>
    </row>
    <row r="28" spans="1:20" x14ac:dyDescent="0.25">
      <c r="A28" s="128" t="s">
        <v>144</v>
      </c>
    </row>
    <row r="29" spans="1:20" x14ac:dyDescent="0.25">
      <c r="A29" s="128" t="str">
        <f>A9</f>
        <v>Taxable Operating Income</v>
      </c>
      <c r="T29" s="132">
        <f>-T10</f>
        <v>-13884.072798877225</v>
      </c>
    </row>
    <row r="30" spans="1:20" x14ac:dyDescent="0.25">
      <c r="A30" s="128" t="str">
        <f>A17</f>
        <v>Deposit</v>
      </c>
      <c r="T30" s="132">
        <f>-Proforma!AA39</f>
        <v>-12926.88179748439</v>
      </c>
    </row>
    <row r="32" spans="1:20" x14ac:dyDescent="0.25">
      <c r="A32" s="128" t="s">
        <v>145</v>
      </c>
      <c r="B32" s="132">
        <f t="shared" ref="B32:T32" si="9">SUM(B13:B31)</f>
        <v>-1434097.53</v>
      </c>
      <c r="C32" s="132">
        <f t="shared" si="9"/>
        <v>133622.79763636368</v>
      </c>
      <c r="D32" s="132">
        <f t="shared" si="9"/>
        <v>114789.05532723617</v>
      </c>
      <c r="E32" s="132">
        <f t="shared" si="9"/>
        <v>124344.82883061576</v>
      </c>
      <c r="F32" s="132">
        <f t="shared" si="9"/>
        <v>116881.03476521892</v>
      </c>
      <c r="G32" s="132">
        <f t="shared" si="9"/>
        <v>117823.53716149593</v>
      </c>
      <c r="H32" s="132">
        <f t="shared" si="9"/>
        <v>118771.30202834666</v>
      </c>
      <c r="I32" s="132">
        <f t="shared" si="9"/>
        <v>118670.26324828621</v>
      </c>
      <c r="J32" s="132">
        <f t="shared" si="9"/>
        <v>75164.524040131073</v>
      </c>
      <c r="K32" s="132">
        <f t="shared" si="9"/>
        <v>124091.05187881905</v>
      </c>
      <c r="L32" s="132">
        <f t="shared" si="9"/>
        <v>122871.41497062442</v>
      </c>
      <c r="M32" s="132">
        <f t="shared" si="9"/>
        <v>123826.12729993915</v>
      </c>
      <c r="N32" s="132">
        <f t="shared" si="9"/>
        <v>124777.49532874986</v>
      </c>
      <c r="O32" s="132">
        <f t="shared" si="9"/>
        <v>125723.61448481205</v>
      </c>
      <c r="P32" s="132">
        <f t="shared" si="9"/>
        <v>126662.4212852139</v>
      </c>
      <c r="Q32" s="132">
        <f t="shared" si="9"/>
        <v>126257.86780019227</v>
      </c>
      <c r="R32" s="132">
        <f t="shared" si="9"/>
        <v>70853.938230605316</v>
      </c>
      <c r="S32" s="132">
        <f t="shared" si="9"/>
        <v>132863.72110931962</v>
      </c>
      <c r="T32" s="132">
        <f t="shared" si="9"/>
        <v>962353.88891892543</v>
      </c>
    </row>
    <row r="34" spans="1:2" x14ac:dyDescent="0.25">
      <c r="A34" s="128" t="s">
        <v>136</v>
      </c>
      <c r="B34" s="134">
        <f>NPV(B36,C32:T32)+B32</f>
        <v>-44199.535744312219</v>
      </c>
    </row>
    <row r="35" spans="1:2" x14ac:dyDescent="0.25">
      <c r="A35" s="128" t="s">
        <v>137</v>
      </c>
      <c r="B35" s="131">
        <f>IRR(B32:T32)</f>
        <v>7.0359254000616378E-2</v>
      </c>
    </row>
    <row r="36" spans="1:2" x14ac:dyDescent="0.25">
      <c r="A36" s="128" t="s">
        <v>138</v>
      </c>
      <c r="B36" s="131">
        <f>WACC!B19</f>
        <v>7.3945545279321429E-2</v>
      </c>
    </row>
    <row r="38" spans="1:2" x14ac:dyDescent="0.25">
      <c r="A38" s="128" t="s">
        <v>182</v>
      </c>
      <c r="B38" s="132">
        <v>-1049064.6499378858</v>
      </c>
    </row>
    <row r="39" spans="1:2" x14ac:dyDescent="0.25">
      <c r="A39" s="128" t="s">
        <v>179</v>
      </c>
      <c r="B39" s="132">
        <f>B20</f>
        <v>-300000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7"/>
  <sheetViews>
    <sheetView showGridLines="0" workbookViewId="0">
      <pane ySplit="17" topLeftCell="A18" activePane="bottomLeft" state="frozenSplit"/>
      <selection pane="bottomLeft" activeCell="C5" sqref="C5"/>
    </sheetView>
  </sheetViews>
  <sheetFormatPr defaultColWidth="9.140625" defaultRowHeight="12.75" x14ac:dyDescent="0.2"/>
  <cols>
    <col min="1" max="1" width="6.28515625" style="29" customWidth="1"/>
    <col min="2" max="2" width="15.7109375" style="28" customWidth="1"/>
    <col min="3" max="3" width="21.7109375" style="28" customWidth="1"/>
    <col min="4" max="8" width="14.7109375" style="28" customWidth="1"/>
    <col min="9" max="10" width="21.7109375" style="28" customWidth="1"/>
    <col min="11" max="16384" width="9.140625" style="27"/>
  </cols>
  <sheetData>
    <row r="1" spans="1:10" ht="24" customHeight="1" x14ac:dyDescent="0.3">
      <c r="A1" s="62" t="s">
        <v>44</v>
      </c>
      <c r="B1" s="61"/>
      <c r="C1" s="61"/>
      <c r="D1" s="61"/>
      <c r="E1" s="48"/>
      <c r="F1" s="48"/>
      <c r="G1" s="48"/>
      <c r="H1" s="48"/>
      <c r="I1" s="48"/>
      <c r="J1" s="48"/>
    </row>
    <row r="2" spans="1:10" ht="3" customHeight="1" x14ac:dyDescent="0.2">
      <c r="A2" s="44"/>
      <c r="B2" s="43"/>
      <c r="C2" s="43"/>
      <c r="D2" s="43"/>
      <c r="E2" s="43"/>
      <c r="F2" s="43"/>
      <c r="G2" s="43"/>
      <c r="H2" s="43"/>
      <c r="I2" s="43"/>
      <c r="J2" s="43"/>
    </row>
    <row r="3" spans="1:10" ht="20.25" customHeight="1" x14ac:dyDescent="0.2">
      <c r="A3" s="48"/>
      <c r="B3" s="45"/>
      <c r="C3" s="45"/>
      <c r="D3" s="45"/>
      <c r="E3" s="45"/>
      <c r="F3" s="45"/>
      <c r="G3" s="45"/>
      <c r="H3" s="45"/>
      <c r="I3" s="45"/>
      <c r="J3" s="45"/>
    </row>
    <row r="4" spans="1:10" ht="14.25" customHeight="1" x14ac:dyDescent="0.2">
      <c r="A4" s="176" t="s">
        <v>43</v>
      </c>
      <c r="B4" s="177"/>
      <c r="C4" s="178"/>
      <c r="D4" s="27"/>
      <c r="E4" s="176" t="s">
        <v>42</v>
      </c>
      <c r="F4" s="177"/>
      <c r="G4" s="178"/>
      <c r="H4" s="27"/>
      <c r="I4" s="179" t="s">
        <v>45</v>
      </c>
      <c r="J4" s="180"/>
    </row>
    <row r="5" spans="1:10" x14ac:dyDescent="0.2">
      <c r="A5" s="57"/>
      <c r="B5" s="56" t="s">
        <v>41</v>
      </c>
      <c r="C5" s="51">
        <f>Proforma!C50</f>
        <v>1119200</v>
      </c>
      <c r="D5" s="27"/>
      <c r="E5" s="57"/>
      <c r="F5" s="56" t="s">
        <v>40</v>
      </c>
      <c r="G5" s="54">
        <f>IF(Values_Entered,-PMT(Interest_Rate/Num_Pmt_Per_Year,Loan_Years*Num_Pmt_Per_Year,Loan_Amount),"")</f>
        <v>6354.694503075656</v>
      </c>
      <c r="H5" s="27"/>
      <c r="I5" s="63" t="s">
        <v>40</v>
      </c>
      <c r="J5" s="54">
        <f>IF(Values_Entered,-PMT(Interest_Rate/Num_Pmt_Per_Year,Loan_Years*Num_Pmt_Per_Year,Loan_Amount),"")</f>
        <v>6354.694503075656</v>
      </c>
    </row>
    <row r="6" spans="1:10" x14ac:dyDescent="0.2">
      <c r="A6" s="57"/>
      <c r="B6" s="56" t="s">
        <v>39</v>
      </c>
      <c r="C6" s="60">
        <v>5.5E-2</v>
      </c>
      <c r="D6" s="27"/>
      <c r="E6" s="57"/>
      <c r="F6" s="56" t="s">
        <v>38</v>
      </c>
      <c r="G6" s="59">
        <f>IF(Values_Entered,Loan_Years*Num_Pmt_Per_Year,"")</f>
        <v>360</v>
      </c>
      <c r="H6" s="27"/>
      <c r="I6" s="63" t="s">
        <v>47</v>
      </c>
      <c r="J6" s="59"/>
    </row>
    <row r="7" spans="1:10" x14ac:dyDescent="0.2">
      <c r="A7" s="57"/>
      <c r="B7" s="56" t="s">
        <v>37</v>
      </c>
      <c r="C7" s="58">
        <v>30</v>
      </c>
      <c r="D7" s="27"/>
      <c r="E7" s="57"/>
      <c r="F7" s="56" t="s">
        <v>36</v>
      </c>
      <c r="G7" s="59">
        <f>IF(Values_Entered,Number_of_Payments,"")</f>
        <v>360</v>
      </c>
      <c r="H7" s="27"/>
      <c r="I7" s="65" t="s">
        <v>48</v>
      </c>
      <c r="J7" s="59"/>
    </row>
    <row r="8" spans="1:10" x14ac:dyDescent="0.2">
      <c r="A8" s="57"/>
      <c r="B8" s="56" t="s">
        <v>35</v>
      </c>
      <c r="C8" s="58">
        <v>12</v>
      </c>
      <c r="D8" s="27"/>
      <c r="E8" s="57"/>
      <c r="F8" s="56" t="s">
        <v>34</v>
      </c>
      <c r="G8" s="54">
        <f>IF(Values_Entered,SUMIF(Beg_Bal,"&gt;0",Extra_Pay),"")</f>
        <v>0</v>
      </c>
      <c r="H8" s="27"/>
      <c r="I8" s="63" t="s">
        <v>46</v>
      </c>
      <c r="J8" s="54"/>
    </row>
    <row r="9" spans="1:10" x14ac:dyDescent="0.2">
      <c r="A9" s="57"/>
      <c r="B9" s="56" t="s">
        <v>33</v>
      </c>
      <c r="C9" s="55">
        <v>41274</v>
      </c>
      <c r="D9" s="27"/>
      <c r="E9" s="53"/>
      <c r="F9" s="52" t="s">
        <v>32</v>
      </c>
      <c r="G9" s="54">
        <f>IF(Values_Entered,SUMIF(Beg_Bal,"&gt;0",Int),"")</f>
        <v>1168490.0211072355</v>
      </c>
      <c r="H9" s="27"/>
      <c r="I9" s="64" t="s">
        <v>24</v>
      </c>
      <c r="J9" s="54">
        <f>SUM(J5:J8)</f>
        <v>6354.694503075656</v>
      </c>
    </row>
    <row r="10" spans="1:10" x14ac:dyDescent="0.2">
      <c r="A10" s="53"/>
      <c r="B10" s="52" t="s">
        <v>31</v>
      </c>
      <c r="C10" s="51"/>
      <c r="D10" s="27"/>
      <c r="E10" s="27"/>
      <c r="F10" s="27"/>
      <c r="G10" s="27"/>
      <c r="H10" s="45"/>
      <c r="I10" s="45"/>
      <c r="J10" s="50"/>
    </row>
    <row r="11" spans="1:10" x14ac:dyDescent="0.2">
      <c r="A11" s="48"/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">
      <c r="A12" s="48"/>
      <c r="B12" s="47" t="s">
        <v>30</v>
      </c>
      <c r="C12" s="174"/>
      <c r="D12" s="175"/>
      <c r="E12" s="49"/>
      <c r="F12" s="45"/>
      <c r="G12" s="45"/>
      <c r="H12" s="45"/>
      <c r="I12" s="45"/>
      <c r="J12" s="45"/>
    </row>
    <row r="13" spans="1:10" x14ac:dyDescent="0.2">
      <c r="A13" s="48"/>
      <c r="B13" s="47"/>
      <c r="C13" s="46"/>
      <c r="D13" s="46"/>
      <c r="E13" s="45"/>
      <c r="F13" s="45"/>
      <c r="G13" s="45"/>
      <c r="H13" s="45"/>
      <c r="I13" s="45"/>
      <c r="J13" s="45"/>
    </row>
    <row r="14" spans="1:10" ht="6" customHeight="1" x14ac:dyDescent="0.2">
      <c r="A14" s="44"/>
      <c r="B14" s="43"/>
      <c r="C14" s="43"/>
      <c r="D14" s="43"/>
      <c r="E14" s="43"/>
      <c r="F14" s="43"/>
      <c r="G14" s="43"/>
      <c r="H14" s="43"/>
      <c r="I14" s="43"/>
      <c r="J14" s="43"/>
    </row>
    <row r="15" spans="1:10" ht="3.75" customHeight="1" x14ac:dyDescent="0.25">
      <c r="A15" s="42"/>
      <c r="B15" s="41"/>
      <c r="C15" s="41"/>
      <c r="D15" s="41"/>
      <c r="E15" s="41"/>
      <c r="F15" s="41"/>
      <c r="G15" s="41"/>
      <c r="H15" s="41"/>
      <c r="I15" s="41"/>
      <c r="J15" s="41"/>
    </row>
    <row r="16" spans="1:10" s="34" customFormat="1" ht="25.5" x14ac:dyDescent="0.2">
      <c r="A16" s="40" t="s">
        <v>29</v>
      </c>
      <c r="B16" s="39" t="s">
        <v>28</v>
      </c>
      <c r="C16" s="39" t="s">
        <v>27</v>
      </c>
      <c r="D16" s="39" t="s">
        <v>26</v>
      </c>
      <c r="E16" s="39" t="s">
        <v>25</v>
      </c>
      <c r="F16" s="39" t="s">
        <v>24</v>
      </c>
      <c r="G16" s="39" t="s">
        <v>23</v>
      </c>
      <c r="H16" s="39" t="s">
        <v>22</v>
      </c>
      <c r="I16" s="39" t="s">
        <v>21</v>
      </c>
      <c r="J16" s="38" t="s">
        <v>20</v>
      </c>
    </row>
    <row r="17" spans="1:10" s="34" customFormat="1" ht="6" customHeight="1" x14ac:dyDescent="0.25">
      <c r="A17" s="37"/>
      <c r="B17" s="36"/>
      <c r="C17" s="36"/>
      <c r="D17" s="36"/>
      <c r="E17" s="36"/>
      <c r="F17" s="36"/>
      <c r="G17" s="36"/>
      <c r="H17" s="36"/>
      <c r="I17" s="36"/>
      <c r="J17" s="35"/>
    </row>
    <row r="18" spans="1:10" s="34" customFormat="1" x14ac:dyDescent="0.2">
      <c r="A18" s="33">
        <f>IF(Values_Entered,1,"")</f>
        <v>1</v>
      </c>
      <c r="B18" s="32">
        <f t="shared" ref="B18:B81" si="0">IF(Pay_Num&lt;&gt;"",DATE(YEAR(Loan_Start),MONTH(Loan_Start)+(Pay_Num)*12/Num_Pmt_Per_Year,DAY(Loan_Start)),"")</f>
        <v>41305</v>
      </c>
      <c r="C18" s="30">
        <f>IF(Values_Entered,Loan_Amount,"")</f>
        <v>1119200</v>
      </c>
      <c r="D18" s="30">
        <f t="shared" ref="D18:D81" si="1">IF(Pay_Num&lt;&gt;"",Scheduled_Monthly_Payment,"")</f>
        <v>6354.694503075656</v>
      </c>
      <c r="E18" s="31">
        <f t="shared" ref="E18:E81" si="2">IF(AND(Pay_Num&lt;&gt;"",Sched_Pay+Scheduled_Extra_Payments&lt;Beg_Bal),Scheduled_Extra_Payments,IF(AND(Pay_Num&lt;&gt;"",Beg_Bal-Sched_Pay&gt;0),Beg_Bal-Sched_Pay,IF(Pay_Num&lt;&gt;"",0,"")))</f>
        <v>0</v>
      </c>
      <c r="F18" s="30">
        <f t="shared" ref="F18:F81" si="3">IF(AND(Pay_Num&lt;&gt;"",Sched_Pay+Extra_Pay&lt;Beg_Bal),Sched_Pay+Extra_Pay,IF(Pay_Num&lt;&gt;"",Beg_Bal,""))</f>
        <v>6354.694503075656</v>
      </c>
      <c r="G18" s="30">
        <f t="shared" ref="G18:G81" si="4">IF(Pay_Num&lt;&gt;"",Total_Pay-Int,"")</f>
        <v>1225.0278364089891</v>
      </c>
      <c r="H18" s="30">
        <f>IF(Pay_Num&lt;&gt;"",Beg_Bal*(Interest_Rate/Num_Pmt_Per_Year),"")</f>
        <v>5129.666666666667</v>
      </c>
      <c r="I18" s="30">
        <f t="shared" ref="I18:I81" si="5">IF(AND(Pay_Num&lt;&gt;"",Sched_Pay+Extra_Pay&lt;Beg_Bal),Beg_Bal-Princ,IF(Pay_Num&lt;&gt;"",0,""))</f>
        <v>1117974.9721635911</v>
      </c>
      <c r="J18" s="30">
        <f>SUM($H$18:$H18)</f>
        <v>5129.666666666667</v>
      </c>
    </row>
    <row r="19" spans="1:10" s="34" customFormat="1" ht="12.75" customHeight="1" x14ac:dyDescent="0.2">
      <c r="A19" s="33">
        <f>IF(Values_Entered,A18+1,"")</f>
        <v>2</v>
      </c>
      <c r="B19" s="32">
        <f t="shared" si="0"/>
        <v>41336</v>
      </c>
      <c r="C19" s="30">
        <f t="shared" ref="C19:C82" si="6">IF(Pay_Num&lt;&gt;"",I18,"")</f>
        <v>1117974.9721635911</v>
      </c>
      <c r="D19" s="30">
        <f t="shared" si="1"/>
        <v>6354.694503075656</v>
      </c>
      <c r="E19" s="31">
        <f t="shared" si="2"/>
        <v>0</v>
      </c>
      <c r="F19" s="30">
        <f t="shared" si="3"/>
        <v>6354.694503075656</v>
      </c>
      <c r="G19" s="30">
        <f t="shared" si="4"/>
        <v>1230.6425473258632</v>
      </c>
      <c r="H19" s="30">
        <f t="shared" ref="H19:H82" si="7">IF(Pay_Num&lt;&gt;"",Beg_Bal*Interest_Rate/Num_Pmt_Per_Year,"")</f>
        <v>5124.0519557497928</v>
      </c>
      <c r="I19" s="30">
        <f t="shared" si="5"/>
        <v>1116744.3296162651</v>
      </c>
      <c r="J19" s="30">
        <f>SUM($H$18:$H19)</f>
        <v>10253.71862241646</v>
      </c>
    </row>
    <row r="20" spans="1:10" s="34" customFormat="1" ht="12.75" customHeight="1" x14ac:dyDescent="0.2">
      <c r="A20" s="33">
        <f>IF(Values_Entered,A19+1,"")</f>
        <v>3</v>
      </c>
      <c r="B20" s="32">
        <f t="shared" si="0"/>
        <v>41364</v>
      </c>
      <c r="C20" s="30">
        <f t="shared" si="6"/>
        <v>1116744.3296162651</v>
      </c>
      <c r="D20" s="30">
        <f t="shared" si="1"/>
        <v>6354.694503075656</v>
      </c>
      <c r="E20" s="31">
        <f t="shared" si="2"/>
        <v>0</v>
      </c>
      <c r="F20" s="30">
        <f t="shared" si="3"/>
        <v>6354.694503075656</v>
      </c>
      <c r="G20" s="30">
        <f t="shared" si="4"/>
        <v>1236.2829923344407</v>
      </c>
      <c r="H20" s="30">
        <f t="shared" si="7"/>
        <v>5118.4115107412154</v>
      </c>
      <c r="I20" s="30">
        <f t="shared" si="5"/>
        <v>1115508.0466239308</v>
      </c>
      <c r="J20" s="30">
        <f>SUM($H$18:$H20)</f>
        <v>15372.130133157676</v>
      </c>
    </row>
    <row r="21" spans="1:10" s="34" customFormat="1" x14ac:dyDescent="0.2">
      <c r="A21" s="33">
        <f>IF(Values_Entered,A20+1,"")</f>
        <v>4</v>
      </c>
      <c r="B21" s="32">
        <f t="shared" si="0"/>
        <v>41395</v>
      </c>
      <c r="C21" s="30">
        <f t="shared" si="6"/>
        <v>1115508.0466239308</v>
      </c>
      <c r="D21" s="30">
        <f t="shared" si="1"/>
        <v>6354.694503075656</v>
      </c>
      <c r="E21" s="31">
        <f t="shared" si="2"/>
        <v>0</v>
      </c>
      <c r="F21" s="30">
        <f t="shared" si="3"/>
        <v>6354.694503075656</v>
      </c>
      <c r="G21" s="30">
        <f t="shared" si="4"/>
        <v>1241.94928938264</v>
      </c>
      <c r="H21" s="30">
        <f t="shared" si="7"/>
        <v>5112.745213693016</v>
      </c>
      <c r="I21" s="30">
        <f t="shared" si="5"/>
        <v>1114266.0973345481</v>
      </c>
      <c r="J21" s="30">
        <f>SUM($H$18:$H21)</f>
        <v>20484.875346850691</v>
      </c>
    </row>
    <row r="22" spans="1:10" s="34" customFormat="1" x14ac:dyDescent="0.2">
      <c r="A22" s="33">
        <f>IF(Values_Entered,A21+1,"")</f>
        <v>5</v>
      </c>
      <c r="B22" s="32">
        <f t="shared" si="0"/>
        <v>41425</v>
      </c>
      <c r="C22" s="30">
        <f t="shared" si="6"/>
        <v>1114266.0973345481</v>
      </c>
      <c r="D22" s="30">
        <f t="shared" si="1"/>
        <v>6354.694503075656</v>
      </c>
      <c r="E22" s="31">
        <f t="shared" si="2"/>
        <v>0</v>
      </c>
      <c r="F22" s="30">
        <f t="shared" si="3"/>
        <v>6354.694503075656</v>
      </c>
      <c r="G22" s="30">
        <f t="shared" si="4"/>
        <v>1247.6415569589772</v>
      </c>
      <c r="H22" s="30">
        <f t="shared" si="7"/>
        <v>5107.0529461166789</v>
      </c>
      <c r="I22" s="30">
        <f t="shared" si="5"/>
        <v>1113018.4557775892</v>
      </c>
      <c r="J22" s="30">
        <f>SUM($H$18:$H22)</f>
        <v>25591.928292967372</v>
      </c>
    </row>
    <row r="23" spans="1:10" x14ac:dyDescent="0.2">
      <c r="A23" s="33">
        <f>IF(Values_Entered,A22+1,"")</f>
        <v>6</v>
      </c>
      <c r="B23" s="32">
        <f t="shared" si="0"/>
        <v>41456</v>
      </c>
      <c r="C23" s="30">
        <f t="shared" si="6"/>
        <v>1113018.4557775892</v>
      </c>
      <c r="D23" s="30">
        <f t="shared" si="1"/>
        <v>6354.694503075656</v>
      </c>
      <c r="E23" s="31">
        <f t="shared" si="2"/>
        <v>0</v>
      </c>
      <c r="F23" s="30">
        <f t="shared" si="3"/>
        <v>6354.694503075656</v>
      </c>
      <c r="G23" s="30">
        <f t="shared" si="4"/>
        <v>1253.3599140950382</v>
      </c>
      <c r="H23" s="30">
        <f t="shared" si="7"/>
        <v>5101.3345889806178</v>
      </c>
      <c r="I23" s="30">
        <f t="shared" si="5"/>
        <v>1111765.0958634941</v>
      </c>
      <c r="J23" s="30">
        <f>SUM($H$18:$H23)</f>
        <v>30693.262881947991</v>
      </c>
    </row>
    <row r="24" spans="1:10" x14ac:dyDescent="0.2">
      <c r="A24" s="33">
        <f>IF(Values_Entered,A23+1,"")</f>
        <v>7</v>
      </c>
      <c r="B24" s="32">
        <f t="shared" si="0"/>
        <v>41486</v>
      </c>
      <c r="C24" s="30">
        <f t="shared" si="6"/>
        <v>1111765.0958634941</v>
      </c>
      <c r="D24" s="30">
        <f t="shared" si="1"/>
        <v>6354.694503075656</v>
      </c>
      <c r="E24" s="31">
        <f t="shared" si="2"/>
        <v>0</v>
      </c>
      <c r="F24" s="30">
        <f t="shared" si="3"/>
        <v>6354.694503075656</v>
      </c>
      <c r="G24" s="30">
        <f t="shared" si="4"/>
        <v>1259.1044803679752</v>
      </c>
      <c r="H24" s="30">
        <f t="shared" si="7"/>
        <v>5095.5900227076809</v>
      </c>
      <c r="I24" s="30">
        <f t="shared" si="5"/>
        <v>1110505.991383126</v>
      </c>
      <c r="J24" s="30">
        <f>SUM($H$18:$H24)</f>
        <v>35788.852904655672</v>
      </c>
    </row>
    <row r="25" spans="1:10" x14ac:dyDescent="0.2">
      <c r="A25" s="33">
        <f>IF(Values_Entered,A24+1,"")</f>
        <v>8</v>
      </c>
      <c r="B25" s="32">
        <f t="shared" si="0"/>
        <v>41517</v>
      </c>
      <c r="C25" s="30">
        <f t="shared" si="6"/>
        <v>1110505.991383126</v>
      </c>
      <c r="D25" s="30">
        <f t="shared" si="1"/>
        <v>6354.694503075656</v>
      </c>
      <c r="E25" s="31">
        <f t="shared" si="2"/>
        <v>0</v>
      </c>
      <c r="F25" s="30">
        <f t="shared" si="3"/>
        <v>6354.694503075656</v>
      </c>
      <c r="G25" s="30">
        <f t="shared" si="4"/>
        <v>1264.8753759029951</v>
      </c>
      <c r="H25" s="30">
        <f t="shared" si="7"/>
        <v>5089.819127172661</v>
      </c>
      <c r="I25" s="30">
        <f t="shared" si="5"/>
        <v>1109241.116007223</v>
      </c>
      <c r="J25" s="30">
        <f>SUM($H$18:$H25)</f>
        <v>40878.672031828333</v>
      </c>
    </row>
    <row r="26" spans="1:10" x14ac:dyDescent="0.2">
      <c r="A26" s="33">
        <f>IF(Values_Entered,A25+1,"")</f>
        <v>9</v>
      </c>
      <c r="B26" s="32">
        <f t="shared" si="0"/>
        <v>41548</v>
      </c>
      <c r="C26" s="30">
        <f t="shared" si="6"/>
        <v>1109241.116007223</v>
      </c>
      <c r="D26" s="30">
        <f t="shared" si="1"/>
        <v>6354.694503075656</v>
      </c>
      <c r="E26" s="31">
        <f t="shared" si="2"/>
        <v>0</v>
      </c>
      <c r="F26" s="30">
        <f t="shared" si="3"/>
        <v>6354.694503075656</v>
      </c>
      <c r="G26" s="30">
        <f t="shared" si="4"/>
        <v>1270.6727213758841</v>
      </c>
      <c r="H26" s="30">
        <f t="shared" si="7"/>
        <v>5084.021781699772</v>
      </c>
      <c r="I26" s="30">
        <f t="shared" si="5"/>
        <v>1107970.4432858471</v>
      </c>
      <c r="J26" s="30">
        <f>SUM($H$18:$H26)</f>
        <v>45962.693813528109</v>
      </c>
    </row>
    <row r="27" spans="1:10" x14ac:dyDescent="0.2">
      <c r="A27" s="33">
        <f>IF(Values_Entered,A26+1,"")</f>
        <v>10</v>
      </c>
      <c r="B27" s="32">
        <f t="shared" si="0"/>
        <v>41578</v>
      </c>
      <c r="C27" s="30">
        <f t="shared" si="6"/>
        <v>1107970.4432858471</v>
      </c>
      <c r="D27" s="30">
        <f t="shared" si="1"/>
        <v>6354.694503075656</v>
      </c>
      <c r="E27" s="31">
        <f t="shared" si="2"/>
        <v>0</v>
      </c>
      <c r="F27" s="30">
        <f t="shared" si="3"/>
        <v>6354.694503075656</v>
      </c>
      <c r="G27" s="30">
        <f t="shared" si="4"/>
        <v>1276.4966380155238</v>
      </c>
      <c r="H27" s="30">
        <f t="shared" si="7"/>
        <v>5078.1978650601322</v>
      </c>
      <c r="I27" s="30">
        <f t="shared" si="5"/>
        <v>1106693.9466478315</v>
      </c>
      <c r="J27" s="30">
        <f>SUM($H$18:$H27)</f>
        <v>51040.891678588239</v>
      </c>
    </row>
    <row r="28" spans="1:10" x14ac:dyDescent="0.2">
      <c r="A28" s="33">
        <f>IF(Values_Entered,A27+1,"")</f>
        <v>11</v>
      </c>
      <c r="B28" s="32">
        <f t="shared" si="0"/>
        <v>41609</v>
      </c>
      <c r="C28" s="30">
        <f t="shared" si="6"/>
        <v>1106693.9466478315</v>
      </c>
      <c r="D28" s="30">
        <f t="shared" si="1"/>
        <v>6354.694503075656</v>
      </c>
      <c r="E28" s="31">
        <f t="shared" si="2"/>
        <v>0</v>
      </c>
      <c r="F28" s="30">
        <f t="shared" si="3"/>
        <v>6354.694503075656</v>
      </c>
      <c r="G28" s="30">
        <f t="shared" si="4"/>
        <v>1282.347247606428</v>
      </c>
      <c r="H28" s="30">
        <f t="shared" si="7"/>
        <v>5072.347255469228</v>
      </c>
      <c r="I28" s="30">
        <f t="shared" si="5"/>
        <v>1105411.5994002251</v>
      </c>
      <c r="J28" s="30">
        <f>SUM($H$18:$H28)</f>
        <v>56113.238934057466</v>
      </c>
    </row>
    <row r="29" spans="1:10" x14ac:dyDescent="0.2">
      <c r="A29" s="33">
        <f>IF(Values_Entered,A28+1,"")</f>
        <v>12</v>
      </c>
      <c r="B29" s="32">
        <f t="shared" si="0"/>
        <v>41639</v>
      </c>
      <c r="C29" s="30">
        <f t="shared" si="6"/>
        <v>1105411.5994002251</v>
      </c>
      <c r="D29" s="30">
        <f t="shared" si="1"/>
        <v>6354.694503075656</v>
      </c>
      <c r="E29" s="31">
        <f t="shared" si="2"/>
        <v>0</v>
      </c>
      <c r="F29" s="30">
        <f t="shared" si="3"/>
        <v>6354.694503075656</v>
      </c>
      <c r="G29" s="30">
        <f t="shared" si="4"/>
        <v>1288.2246724912911</v>
      </c>
      <c r="H29" s="30">
        <f t="shared" si="7"/>
        <v>5066.4698305843649</v>
      </c>
      <c r="I29" s="30">
        <f t="shared" si="5"/>
        <v>1104123.3747277339</v>
      </c>
      <c r="J29" s="30">
        <f>SUM($H$18:$H29)</f>
        <v>61179.708764641829</v>
      </c>
    </row>
    <row r="30" spans="1:10" x14ac:dyDescent="0.2">
      <c r="A30" s="33">
        <f>IF(Values_Entered,A29+1,"")</f>
        <v>13</v>
      </c>
      <c r="B30" s="32">
        <f t="shared" si="0"/>
        <v>41670</v>
      </c>
      <c r="C30" s="30">
        <f t="shared" si="6"/>
        <v>1104123.3747277339</v>
      </c>
      <c r="D30" s="30">
        <f t="shared" si="1"/>
        <v>6354.694503075656</v>
      </c>
      <c r="E30" s="31">
        <f t="shared" si="2"/>
        <v>0</v>
      </c>
      <c r="F30" s="30">
        <f t="shared" si="3"/>
        <v>6354.694503075656</v>
      </c>
      <c r="G30" s="30">
        <f t="shared" si="4"/>
        <v>1294.1290355735428</v>
      </c>
      <c r="H30" s="30">
        <f t="shared" si="7"/>
        <v>5060.5654675021133</v>
      </c>
      <c r="I30" s="30">
        <f t="shared" si="5"/>
        <v>1102829.2456921604</v>
      </c>
      <c r="J30" s="30">
        <f>SUM($H$18:$H30)</f>
        <v>66240.274232143944</v>
      </c>
    </row>
    <row r="31" spans="1:10" x14ac:dyDescent="0.2">
      <c r="A31" s="33">
        <f>IF(Values_Entered,A30+1,"")</f>
        <v>14</v>
      </c>
      <c r="B31" s="32">
        <f t="shared" si="0"/>
        <v>41701</v>
      </c>
      <c r="C31" s="30">
        <f t="shared" si="6"/>
        <v>1102829.2456921604</v>
      </c>
      <c r="D31" s="30">
        <f t="shared" si="1"/>
        <v>6354.694503075656</v>
      </c>
      <c r="E31" s="31">
        <f t="shared" si="2"/>
        <v>0</v>
      </c>
      <c r="F31" s="30">
        <f t="shared" si="3"/>
        <v>6354.694503075656</v>
      </c>
      <c r="G31" s="30">
        <f t="shared" si="4"/>
        <v>1300.0604603199208</v>
      </c>
      <c r="H31" s="30">
        <f t="shared" si="7"/>
        <v>5054.6340427557352</v>
      </c>
      <c r="I31" s="30">
        <f t="shared" si="5"/>
        <v>1101529.1852318405</v>
      </c>
      <c r="J31" s="30">
        <f>SUM($H$18:$H31)</f>
        <v>71294.908274899673</v>
      </c>
    </row>
    <row r="32" spans="1:10" x14ac:dyDescent="0.2">
      <c r="A32" s="33">
        <f>IF(Values_Entered,A31+1,"")</f>
        <v>15</v>
      </c>
      <c r="B32" s="32">
        <f t="shared" si="0"/>
        <v>41729</v>
      </c>
      <c r="C32" s="30">
        <f t="shared" si="6"/>
        <v>1101529.1852318405</v>
      </c>
      <c r="D32" s="30">
        <f t="shared" si="1"/>
        <v>6354.694503075656</v>
      </c>
      <c r="E32" s="31">
        <f t="shared" si="2"/>
        <v>0</v>
      </c>
      <c r="F32" s="30">
        <f t="shared" si="3"/>
        <v>6354.694503075656</v>
      </c>
      <c r="G32" s="30">
        <f t="shared" si="4"/>
        <v>1306.0190707630536</v>
      </c>
      <c r="H32" s="30">
        <f t="shared" si="7"/>
        <v>5048.6754323126024</v>
      </c>
      <c r="I32" s="30">
        <f t="shared" si="5"/>
        <v>1100223.1661610773</v>
      </c>
      <c r="J32" s="30">
        <f>SUM($H$18:$H32)</f>
        <v>76343.583707212281</v>
      </c>
    </row>
    <row r="33" spans="1:10" x14ac:dyDescent="0.2">
      <c r="A33" s="33">
        <f>IF(Values_Entered,A32+1,"")</f>
        <v>16</v>
      </c>
      <c r="B33" s="32">
        <f t="shared" si="0"/>
        <v>41760</v>
      </c>
      <c r="C33" s="30">
        <f t="shared" si="6"/>
        <v>1100223.1661610773</v>
      </c>
      <c r="D33" s="30">
        <f t="shared" si="1"/>
        <v>6354.694503075656</v>
      </c>
      <c r="E33" s="31">
        <f t="shared" si="2"/>
        <v>0</v>
      </c>
      <c r="F33" s="30">
        <f t="shared" si="3"/>
        <v>6354.694503075656</v>
      </c>
      <c r="G33" s="30">
        <f t="shared" si="4"/>
        <v>1312.0049915040518</v>
      </c>
      <c r="H33" s="30">
        <f t="shared" si="7"/>
        <v>5042.6895115716043</v>
      </c>
      <c r="I33" s="30">
        <f t="shared" si="5"/>
        <v>1098911.1611695732</v>
      </c>
      <c r="J33" s="30">
        <f>SUM($H$18:$H33)</f>
        <v>81386.273218783885</v>
      </c>
    </row>
    <row r="34" spans="1:10" x14ac:dyDescent="0.2">
      <c r="A34" s="33">
        <f>IF(Values_Entered,A33+1,"")</f>
        <v>17</v>
      </c>
      <c r="B34" s="32">
        <f t="shared" si="0"/>
        <v>41790</v>
      </c>
      <c r="C34" s="30">
        <f t="shared" si="6"/>
        <v>1098911.1611695732</v>
      </c>
      <c r="D34" s="30">
        <f t="shared" si="1"/>
        <v>6354.694503075656</v>
      </c>
      <c r="E34" s="31">
        <f t="shared" si="2"/>
        <v>0</v>
      </c>
      <c r="F34" s="30">
        <f t="shared" si="3"/>
        <v>6354.694503075656</v>
      </c>
      <c r="G34" s="30">
        <f t="shared" si="4"/>
        <v>1318.0183477151122</v>
      </c>
      <c r="H34" s="30">
        <f t="shared" si="7"/>
        <v>5036.6761553605438</v>
      </c>
      <c r="I34" s="30">
        <f t="shared" si="5"/>
        <v>1097593.1428218582</v>
      </c>
      <c r="J34" s="30">
        <f>SUM($H$18:$H34)</f>
        <v>86422.949374144431</v>
      </c>
    </row>
    <row r="35" spans="1:10" x14ac:dyDescent="0.2">
      <c r="A35" s="33">
        <f>IF(Values_Entered,A34+1,"")</f>
        <v>18</v>
      </c>
      <c r="B35" s="32">
        <f t="shared" si="0"/>
        <v>41821</v>
      </c>
      <c r="C35" s="30">
        <f t="shared" si="6"/>
        <v>1097593.1428218582</v>
      </c>
      <c r="D35" s="30">
        <f t="shared" si="1"/>
        <v>6354.694503075656</v>
      </c>
      <c r="E35" s="31">
        <f t="shared" si="2"/>
        <v>0</v>
      </c>
      <c r="F35" s="30">
        <f t="shared" si="3"/>
        <v>6354.694503075656</v>
      </c>
      <c r="G35" s="30">
        <f t="shared" si="4"/>
        <v>1324.0592651421393</v>
      </c>
      <c r="H35" s="30">
        <f t="shared" si="7"/>
        <v>5030.6352379335167</v>
      </c>
      <c r="I35" s="30">
        <f t="shared" si="5"/>
        <v>1096269.0835567161</v>
      </c>
      <c r="J35" s="30">
        <f>SUM($H$18:$H35)</f>
        <v>91453.584612077946</v>
      </c>
    </row>
    <row r="36" spans="1:10" x14ac:dyDescent="0.2">
      <c r="A36" s="33">
        <f>IF(Values_Entered,A35+1,"")</f>
        <v>19</v>
      </c>
      <c r="B36" s="32">
        <f t="shared" si="0"/>
        <v>41851</v>
      </c>
      <c r="C36" s="30">
        <f t="shared" si="6"/>
        <v>1096269.0835567161</v>
      </c>
      <c r="D36" s="30">
        <f t="shared" si="1"/>
        <v>6354.694503075656</v>
      </c>
      <c r="E36" s="31">
        <f t="shared" si="2"/>
        <v>0</v>
      </c>
      <c r="F36" s="30">
        <f t="shared" si="3"/>
        <v>6354.694503075656</v>
      </c>
      <c r="G36" s="30">
        <f t="shared" si="4"/>
        <v>1330.1278701073743</v>
      </c>
      <c r="H36" s="30">
        <f t="shared" si="7"/>
        <v>5024.5666329682817</v>
      </c>
      <c r="I36" s="30">
        <f t="shared" si="5"/>
        <v>1094938.9556866088</v>
      </c>
      <c r="J36" s="30">
        <f>SUM($H$18:$H36)</f>
        <v>96478.151245046232</v>
      </c>
    </row>
    <row r="37" spans="1:10" x14ac:dyDescent="0.2">
      <c r="A37" s="33">
        <f>IF(Values_Entered,A36+1,"")</f>
        <v>20</v>
      </c>
      <c r="B37" s="32">
        <f t="shared" si="0"/>
        <v>41882</v>
      </c>
      <c r="C37" s="30">
        <f t="shared" si="6"/>
        <v>1094938.9556866088</v>
      </c>
      <c r="D37" s="30">
        <f t="shared" si="1"/>
        <v>6354.694503075656</v>
      </c>
      <c r="E37" s="31">
        <f t="shared" si="2"/>
        <v>0</v>
      </c>
      <c r="F37" s="30">
        <f t="shared" si="3"/>
        <v>6354.694503075656</v>
      </c>
      <c r="G37" s="30">
        <f t="shared" si="4"/>
        <v>1336.2242895120326</v>
      </c>
      <c r="H37" s="30">
        <f t="shared" si="7"/>
        <v>5018.4702135636235</v>
      </c>
      <c r="I37" s="30">
        <f t="shared" si="5"/>
        <v>1093602.7313970968</v>
      </c>
      <c r="J37" s="30">
        <f>SUM($H$18:$H37)</f>
        <v>101496.62145860985</v>
      </c>
    </row>
    <row r="38" spans="1:10" x14ac:dyDescent="0.2">
      <c r="A38" s="33">
        <f>IF(Values_Entered,A37+1,"")</f>
        <v>21</v>
      </c>
      <c r="B38" s="32">
        <f t="shared" si="0"/>
        <v>41913</v>
      </c>
      <c r="C38" s="30">
        <f t="shared" si="6"/>
        <v>1093602.7313970968</v>
      </c>
      <c r="D38" s="30">
        <f t="shared" si="1"/>
        <v>6354.694503075656</v>
      </c>
      <c r="E38" s="31">
        <f t="shared" si="2"/>
        <v>0</v>
      </c>
      <c r="F38" s="30">
        <f t="shared" si="3"/>
        <v>6354.694503075656</v>
      </c>
      <c r="G38" s="30">
        <f t="shared" si="4"/>
        <v>1342.3486508389624</v>
      </c>
      <c r="H38" s="30">
        <f t="shared" si="7"/>
        <v>5012.3458522366936</v>
      </c>
      <c r="I38" s="30">
        <f t="shared" si="5"/>
        <v>1092260.3827462578</v>
      </c>
      <c r="J38" s="30">
        <f>SUM($H$18:$H38)</f>
        <v>106508.96731084655</v>
      </c>
    </row>
    <row r="39" spans="1:10" x14ac:dyDescent="0.2">
      <c r="A39" s="33">
        <f>IF(Values_Entered,A38+1,"")</f>
        <v>22</v>
      </c>
      <c r="B39" s="32">
        <f t="shared" si="0"/>
        <v>41943</v>
      </c>
      <c r="C39" s="30">
        <f t="shared" si="6"/>
        <v>1092260.3827462578</v>
      </c>
      <c r="D39" s="30">
        <f t="shared" si="1"/>
        <v>6354.694503075656</v>
      </c>
      <c r="E39" s="31">
        <f t="shared" si="2"/>
        <v>0</v>
      </c>
      <c r="F39" s="30">
        <f t="shared" si="3"/>
        <v>6354.694503075656</v>
      </c>
      <c r="G39" s="30">
        <f t="shared" si="4"/>
        <v>1348.5010821553078</v>
      </c>
      <c r="H39" s="30">
        <f t="shared" si="7"/>
        <v>5006.1934209203482</v>
      </c>
      <c r="I39" s="30">
        <f t="shared" si="5"/>
        <v>1090911.8816641024</v>
      </c>
      <c r="J39" s="30">
        <f>SUM($H$18:$H39)</f>
        <v>111515.1607317669</v>
      </c>
    </row>
    <row r="40" spans="1:10" x14ac:dyDescent="0.2">
      <c r="A40" s="33">
        <f>IF(Values_Entered,A39+1,"")</f>
        <v>23</v>
      </c>
      <c r="B40" s="32">
        <f t="shared" si="0"/>
        <v>41974</v>
      </c>
      <c r="C40" s="30">
        <f t="shared" si="6"/>
        <v>1090911.8816641024</v>
      </c>
      <c r="D40" s="30">
        <f t="shared" si="1"/>
        <v>6354.694503075656</v>
      </c>
      <c r="E40" s="31">
        <f t="shared" si="2"/>
        <v>0</v>
      </c>
      <c r="F40" s="30">
        <f t="shared" si="3"/>
        <v>6354.694503075656</v>
      </c>
      <c r="G40" s="30">
        <f t="shared" si="4"/>
        <v>1354.6817121151862</v>
      </c>
      <c r="H40" s="30">
        <f t="shared" si="7"/>
        <v>5000.0127909604698</v>
      </c>
      <c r="I40" s="30">
        <f t="shared" si="5"/>
        <v>1089557.1999519872</v>
      </c>
      <c r="J40" s="30">
        <f>SUM($H$18:$H40)</f>
        <v>116515.17352272736</v>
      </c>
    </row>
    <row r="41" spans="1:10" x14ac:dyDescent="0.2">
      <c r="A41" s="33">
        <f>IF(Values_Entered,A40+1,"")</f>
        <v>24</v>
      </c>
      <c r="B41" s="32">
        <f t="shared" si="0"/>
        <v>42004</v>
      </c>
      <c r="C41" s="30">
        <f t="shared" si="6"/>
        <v>1089557.1999519872</v>
      </c>
      <c r="D41" s="30">
        <f t="shared" si="1"/>
        <v>6354.694503075656</v>
      </c>
      <c r="E41" s="31">
        <f t="shared" si="2"/>
        <v>0</v>
      </c>
      <c r="F41" s="30">
        <f t="shared" si="3"/>
        <v>6354.694503075656</v>
      </c>
      <c r="G41" s="30">
        <f t="shared" si="4"/>
        <v>1360.8906699623813</v>
      </c>
      <c r="H41" s="30">
        <f t="shared" si="7"/>
        <v>4993.8038331132748</v>
      </c>
      <c r="I41" s="30">
        <f t="shared" si="5"/>
        <v>1088196.3092820249</v>
      </c>
      <c r="J41" s="30">
        <f>SUM($H$18:$H41)</f>
        <v>121508.97735584063</v>
      </c>
    </row>
    <row r="42" spans="1:10" x14ac:dyDescent="0.2">
      <c r="A42" s="33">
        <f>IF(Values_Entered,A41+1,"")</f>
        <v>25</v>
      </c>
      <c r="B42" s="32">
        <f t="shared" si="0"/>
        <v>42035</v>
      </c>
      <c r="C42" s="30">
        <f t="shared" si="6"/>
        <v>1088196.3092820249</v>
      </c>
      <c r="D42" s="30">
        <f t="shared" si="1"/>
        <v>6354.694503075656</v>
      </c>
      <c r="E42" s="31">
        <f t="shared" si="2"/>
        <v>0</v>
      </c>
      <c r="F42" s="30">
        <f t="shared" si="3"/>
        <v>6354.694503075656</v>
      </c>
      <c r="G42" s="30">
        <f t="shared" si="4"/>
        <v>1367.1280855330415</v>
      </c>
      <c r="H42" s="30">
        <f t="shared" si="7"/>
        <v>4987.5664175426145</v>
      </c>
      <c r="I42" s="30">
        <f t="shared" si="5"/>
        <v>1086829.1811964917</v>
      </c>
      <c r="J42" s="30">
        <f>SUM($H$18:$H42)</f>
        <v>126496.54377338325</v>
      </c>
    </row>
    <row r="43" spans="1:10" x14ac:dyDescent="0.2">
      <c r="A43" s="33">
        <f>IF(Values_Entered,A42+1,"")</f>
        <v>26</v>
      </c>
      <c r="B43" s="32">
        <f t="shared" si="0"/>
        <v>42066</v>
      </c>
      <c r="C43" s="30">
        <f t="shared" si="6"/>
        <v>1086829.1811964917</v>
      </c>
      <c r="D43" s="30">
        <f t="shared" si="1"/>
        <v>6354.694503075656</v>
      </c>
      <c r="E43" s="31">
        <f t="shared" si="2"/>
        <v>0</v>
      </c>
      <c r="F43" s="30">
        <f t="shared" si="3"/>
        <v>6354.694503075656</v>
      </c>
      <c r="G43" s="30">
        <f t="shared" si="4"/>
        <v>1373.3940892584023</v>
      </c>
      <c r="H43" s="30">
        <f t="shared" si="7"/>
        <v>4981.3004138172537</v>
      </c>
      <c r="I43" s="30">
        <f t="shared" si="5"/>
        <v>1085455.7871072332</v>
      </c>
      <c r="J43" s="30">
        <f>SUM($H$18:$H43)</f>
        <v>131477.84418720051</v>
      </c>
    </row>
    <row r="44" spans="1:10" x14ac:dyDescent="0.2">
      <c r="A44" s="33">
        <f>IF(Values_Entered,A43+1,"")</f>
        <v>27</v>
      </c>
      <c r="B44" s="32">
        <f t="shared" si="0"/>
        <v>42094</v>
      </c>
      <c r="C44" s="30">
        <f t="shared" si="6"/>
        <v>1085455.7871072332</v>
      </c>
      <c r="D44" s="30">
        <f t="shared" si="1"/>
        <v>6354.694503075656</v>
      </c>
      <c r="E44" s="31">
        <f t="shared" si="2"/>
        <v>0</v>
      </c>
      <c r="F44" s="30">
        <f t="shared" si="3"/>
        <v>6354.694503075656</v>
      </c>
      <c r="G44" s="30">
        <f t="shared" si="4"/>
        <v>1379.6888121675038</v>
      </c>
      <c r="H44" s="30">
        <f t="shared" si="7"/>
        <v>4975.0056909081522</v>
      </c>
      <c r="I44" s="30">
        <f t="shared" si="5"/>
        <v>1084076.0982950656</v>
      </c>
      <c r="J44" s="30">
        <f>SUM($H$18:$H44)</f>
        <v>136452.84987810865</v>
      </c>
    </row>
    <row r="45" spans="1:10" x14ac:dyDescent="0.2">
      <c r="A45" s="33">
        <f>IF(Values_Entered,A44+1,"")</f>
        <v>28</v>
      </c>
      <c r="B45" s="32">
        <f t="shared" si="0"/>
        <v>42125</v>
      </c>
      <c r="C45" s="30">
        <f t="shared" si="6"/>
        <v>1084076.0982950656</v>
      </c>
      <c r="D45" s="30">
        <f t="shared" si="1"/>
        <v>6354.694503075656</v>
      </c>
      <c r="E45" s="31">
        <f t="shared" si="2"/>
        <v>0</v>
      </c>
      <c r="F45" s="30">
        <f t="shared" si="3"/>
        <v>6354.694503075656</v>
      </c>
      <c r="G45" s="30">
        <f t="shared" si="4"/>
        <v>1386.0123858899387</v>
      </c>
      <c r="H45" s="30">
        <f t="shared" si="7"/>
        <v>4968.6821171857173</v>
      </c>
      <c r="I45" s="30">
        <f t="shared" si="5"/>
        <v>1082690.0859091757</v>
      </c>
      <c r="J45" s="30">
        <f>SUM($H$18:$H45)</f>
        <v>141421.53199529438</v>
      </c>
    </row>
    <row r="46" spans="1:10" x14ac:dyDescent="0.2">
      <c r="A46" s="33">
        <f>IF(Values_Entered,A45+1,"")</f>
        <v>29</v>
      </c>
      <c r="B46" s="32">
        <f t="shared" si="0"/>
        <v>42155</v>
      </c>
      <c r="C46" s="30">
        <f t="shared" si="6"/>
        <v>1082690.0859091757</v>
      </c>
      <c r="D46" s="30">
        <f t="shared" si="1"/>
        <v>6354.694503075656</v>
      </c>
      <c r="E46" s="31">
        <f t="shared" si="2"/>
        <v>0</v>
      </c>
      <c r="F46" s="30">
        <f t="shared" si="3"/>
        <v>6354.694503075656</v>
      </c>
      <c r="G46" s="30">
        <f t="shared" si="4"/>
        <v>1392.3649426586007</v>
      </c>
      <c r="H46" s="30">
        <f t="shared" si="7"/>
        <v>4962.3295604170553</v>
      </c>
      <c r="I46" s="30">
        <f t="shared" si="5"/>
        <v>1081297.720966517</v>
      </c>
      <c r="J46" s="30">
        <f>SUM($H$18:$H46)</f>
        <v>146383.86155571142</v>
      </c>
    </row>
    <row r="47" spans="1:10" x14ac:dyDescent="0.2">
      <c r="A47" s="33">
        <f>IF(Values_Entered,A46+1,"")</f>
        <v>30</v>
      </c>
      <c r="B47" s="32">
        <f t="shared" si="0"/>
        <v>42186</v>
      </c>
      <c r="C47" s="30">
        <f t="shared" si="6"/>
        <v>1081297.720966517</v>
      </c>
      <c r="D47" s="30">
        <f t="shared" si="1"/>
        <v>6354.694503075656</v>
      </c>
      <c r="E47" s="31">
        <f t="shared" si="2"/>
        <v>0</v>
      </c>
      <c r="F47" s="30">
        <f t="shared" si="3"/>
        <v>6354.694503075656</v>
      </c>
      <c r="G47" s="30">
        <f t="shared" si="4"/>
        <v>1398.7466153124533</v>
      </c>
      <c r="H47" s="30">
        <f t="shared" si="7"/>
        <v>4955.9478877632027</v>
      </c>
      <c r="I47" s="30">
        <f t="shared" si="5"/>
        <v>1079898.9743512045</v>
      </c>
      <c r="J47" s="30">
        <f>SUM($H$18:$H47)</f>
        <v>151339.80944347463</v>
      </c>
    </row>
    <row r="48" spans="1:10" x14ac:dyDescent="0.2">
      <c r="A48" s="33">
        <f>IF(Values_Entered,A47+1,"")</f>
        <v>31</v>
      </c>
      <c r="B48" s="32">
        <f t="shared" si="0"/>
        <v>42216</v>
      </c>
      <c r="C48" s="30">
        <f t="shared" si="6"/>
        <v>1079898.9743512045</v>
      </c>
      <c r="D48" s="30">
        <f t="shared" si="1"/>
        <v>6354.694503075656</v>
      </c>
      <c r="E48" s="31">
        <f t="shared" si="2"/>
        <v>0</v>
      </c>
      <c r="F48" s="30">
        <f t="shared" si="3"/>
        <v>6354.694503075656</v>
      </c>
      <c r="G48" s="30">
        <f t="shared" si="4"/>
        <v>1405.157537299302</v>
      </c>
      <c r="H48" s="30">
        <f t="shared" si="7"/>
        <v>4949.536965776354</v>
      </c>
      <c r="I48" s="30">
        <f t="shared" si="5"/>
        <v>1078493.8168139053</v>
      </c>
      <c r="J48" s="30">
        <f>SUM($H$18:$H48)</f>
        <v>156289.34640925098</v>
      </c>
    </row>
    <row r="49" spans="1:10" x14ac:dyDescent="0.2">
      <c r="A49" s="33">
        <f>IF(Values_Entered,A48+1,"")</f>
        <v>32</v>
      </c>
      <c r="B49" s="32">
        <f t="shared" si="0"/>
        <v>42247</v>
      </c>
      <c r="C49" s="30">
        <f t="shared" si="6"/>
        <v>1078493.8168139053</v>
      </c>
      <c r="D49" s="30">
        <f t="shared" si="1"/>
        <v>6354.694503075656</v>
      </c>
      <c r="E49" s="31">
        <f t="shared" si="2"/>
        <v>0</v>
      </c>
      <c r="F49" s="30">
        <f t="shared" si="3"/>
        <v>6354.694503075656</v>
      </c>
      <c r="G49" s="30">
        <f t="shared" si="4"/>
        <v>1411.5978426785905</v>
      </c>
      <c r="H49" s="30">
        <f t="shared" si="7"/>
        <v>4943.0966603970655</v>
      </c>
      <c r="I49" s="30">
        <f t="shared" si="5"/>
        <v>1077082.2189712266</v>
      </c>
      <c r="J49" s="30">
        <f>SUM($H$18:$H49)</f>
        <v>161232.44306964806</v>
      </c>
    </row>
    <row r="50" spans="1:10" x14ac:dyDescent="0.2">
      <c r="A50" s="33">
        <f>IF(Values_Entered,A49+1,"")</f>
        <v>33</v>
      </c>
      <c r="B50" s="32">
        <f t="shared" si="0"/>
        <v>42278</v>
      </c>
      <c r="C50" s="30">
        <f t="shared" si="6"/>
        <v>1077082.2189712266</v>
      </c>
      <c r="D50" s="30">
        <f t="shared" si="1"/>
        <v>6354.694503075656</v>
      </c>
      <c r="E50" s="31">
        <f t="shared" si="2"/>
        <v>0</v>
      </c>
      <c r="F50" s="30">
        <f t="shared" si="3"/>
        <v>6354.694503075656</v>
      </c>
      <c r="G50" s="30">
        <f t="shared" si="4"/>
        <v>1418.0676661242005</v>
      </c>
      <c r="H50" s="30">
        <f t="shared" si="7"/>
        <v>4936.6268369514555</v>
      </c>
      <c r="I50" s="30">
        <f t="shared" si="5"/>
        <v>1075664.1513051025</v>
      </c>
      <c r="J50" s="30">
        <f>SUM($H$18:$H50)</f>
        <v>166169.0699065995</v>
      </c>
    </row>
    <row r="51" spans="1:10" x14ac:dyDescent="0.2">
      <c r="A51" s="33">
        <f>IF(Values_Entered,A50+1,"")</f>
        <v>34</v>
      </c>
      <c r="B51" s="32">
        <f t="shared" si="0"/>
        <v>42308</v>
      </c>
      <c r="C51" s="30">
        <f t="shared" si="6"/>
        <v>1075664.1513051025</v>
      </c>
      <c r="D51" s="30">
        <f t="shared" si="1"/>
        <v>6354.694503075656</v>
      </c>
      <c r="E51" s="31">
        <f t="shared" si="2"/>
        <v>0</v>
      </c>
      <c r="F51" s="30">
        <f t="shared" si="3"/>
        <v>6354.694503075656</v>
      </c>
      <c r="G51" s="30">
        <f t="shared" si="4"/>
        <v>1424.5671429272697</v>
      </c>
      <c r="H51" s="30">
        <f t="shared" si="7"/>
        <v>4930.1273601483863</v>
      </c>
      <c r="I51" s="30">
        <f t="shared" si="5"/>
        <v>1074239.5841621752</v>
      </c>
      <c r="J51" s="30">
        <f>SUM($H$18:$H51)</f>
        <v>171099.19726674788</v>
      </c>
    </row>
    <row r="52" spans="1:10" x14ac:dyDescent="0.2">
      <c r="A52" s="33">
        <f>IF(Values_Entered,A51+1,"")</f>
        <v>35</v>
      </c>
      <c r="B52" s="32">
        <f t="shared" si="0"/>
        <v>42339</v>
      </c>
      <c r="C52" s="30">
        <f t="shared" si="6"/>
        <v>1074239.5841621752</v>
      </c>
      <c r="D52" s="30">
        <f t="shared" si="1"/>
        <v>6354.694503075656</v>
      </c>
      <c r="E52" s="31">
        <f t="shared" si="2"/>
        <v>0</v>
      </c>
      <c r="F52" s="30">
        <f t="shared" si="3"/>
        <v>6354.694503075656</v>
      </c>
      <c r="G52" s="30">
        <f t="shared" si="4"/>
        <v>1431.0964089990202</v>
      </c>
      <c r="H52" s="30">
        <f t="shared" si="7"/>
        <v>4923.5980940766358</v>
      </c>
      <c r="I52" s="30">
        <f t="shared" si="5"/>
        <v>1072808.4877531761</v>
      </c>
      <c r="J52" s="30">
        <f>SUM($H$18:$H52)</f>
        <v>176022.79536082453</v>
      </c>
    </row>
    <row r="53" spans="1:10" x14ac:dyDescent="0.2">
      <c r="A53" s="33">
        <f>IF(Values_Entered,A52+1,"")</f>
        <v>36</v>
      </c>
      <c r="B53" s="32">
        <f t="shared" si="0"/>
        <v>42369</v>
      </c>
      <c r="C53" s="30">
        <f t="shared" si="6"/>
        <v>1072808.4877531761</v>
      </c>
      <c r="D53" s="30">
        <f t="shared" si="1"/>
        <v>6354.694503075656</v>
      </c>
      <c r="E53" s="31">
        <f t="shared" si="2"/>
        <v>0</v>
      </c>
      <c r="F53" s="30">
        <f t="shared" si="3"/>
        <v>6354.694503075656</v>
      </c>
      <c r="G53" s="30">
        <f t="shared" si="4"/>
        <v>1437.6556008735988</v>
      </c>
      <c r="H53" s="30">
        <f t="shared" si="7"/>
        <v>4917.0389022020572</v>
      </c>
      <c r="I53" s="30">
        <f t="shared" si="5"/>
        <v>1071370.8321523026</v>
      </c>
      <c r="J53" s="30">
        <f>SUM($H$18:$H53)</f>
        <v>180939.8342630266</v>
      </c>
    </row>
    <row r="54" spans="1:10" x14ac:dyDescent="0.2">
      <c r="A54" s="33">
        <f>IF(Values_Entered,A53+1,"")</f>
        <v>37</v>
      </c>
      <c r="B54" s="32">
        <f t="shared" si="0"/>
        <v>42400</v>
      </c>
      <c r="C54" s="30">
        <f t="shared" si="6"/>
        <v>1071370.8321523026</v>
      </c>
      <c r="D54" s="30">
        <f t="shared" si="1"/>
        <v>6354.694503075656</v>
      </c>
      <c r="E54" s="31">
        <f t="shared" si="2"/>
        <v>0</v>
      </c>
      <c r="F54" s="30">
        <f t="shared" si="3"/>
        <v>6354.694503075656</v>
      </c>
      <c r="G54" s="30">
        <f t="shared" si="4"/>
        <v>1444.2448557109356</v>
      </c>
      <c r="H54" s="30">
        <f t="shared" si="7"/>
        <v>4910.4496473647205</v>
      </c>
      <c r="I54" s="30">
        <f t="shared" si="5"/>
        <v>1069926.5872965916</v>
      </c>
      <c r="J54" s="30">
        <f>SUM($H$18:$H54)</f>
        <v>185850.28391039133</v>
      </c>
    </row>
    <row r="55" spans="1:10" x14ac:dyDescent="0.2">
      <c r="A55" s="33">
        <f>IF(Values_Entered,A54+1,"")</f>
        <v>38</v>
      </c>
      <c r="B55" s="32">
        <f t="shared" si="0"/>
        <v>42431</v>
      </c>
      <c r="C55" s="30">
        <f t="shared" si="6"/>
        <v>1069926.5872965916</v>
      </c>
      <c r="D55" s="30">
        <f t="shared" si="1"/>
        <v>6354.694503075656</v>
      </c>
      <c r="E55" s="31">
        <f t="shared" si="2"/>
        <v>0</v>
      </c>
      <c r="F55" s="30">
        <f t="shared" si="3"/>
        <v>6354.694503075656</v>
      </c>
      <c r="G55" s="30">
        <f t="shared" si="4"/>
        <v>1450.8643112996115</v>
      </c>
      <c r="H55" s="30">
        <f t="shared" si="7"/>
        <v>4903.8301917760446</v>
      </c>
      <c r="I55" s="30">
        <f t="shared" si="5"/>
        <v>1068475.7229852921</v>
      </c>
      <c r="J55" s="30">
        <f>SUM($H$18:$H55)</f>
        <v>190754.11410216737</v>
      </c>
    </row>
    <row r="56" spans="1:10" x14ac:dyDescent="0.2">
      <c r="A56" s="33">
        <f>IF(Values_Entered,A55+1,"")</f>
        <v>39</v>
      </c>
      <c r="B56" s="32">
        <f t="shared" si="0"/>
        <v>42460</v>
      </c>
      <c r="C56" s="30">
        <f t="shared" si="6"/>
        <v>1068475.7229852921</v>
      </c>
      <c r="D56" s="30">
        <f t="shared" si="1"/>
        <v>6354.694503075656</v>
      </c>
      <c r="E56" s="31">
        <f t="shared" si="2"/>
        <v>0</v>
      </c>
      <c r="F56" s="30">
        <f t="shared" si="3"/>
        <v>6354.694503075656</v>
      </c>
      <c r="G56" s="30">
        <f t="shared" si="4"/>
        <v>1457.5141060597334</v>
      </c>
      <c r="H56" s="30">
        <f t="shared" si="7"/>
        <v>4897.1803970159226</v>
      </c>
      <c r="I56" s="30">
        <f t="shared" si="5"/>
        <v>1067018.2088792324</v>
      </c>
      <c r="J56" s="30">
        <f>SUM($H$18:$H56)</f>
        <v>195651.29449918328</v>
      </c>
    </row>
    <row r="57" spans="1:10" x14ac:dyDescent="0.2">
      <c r="A57" s="33">
        <f>IF(Values_Entered,A56+1,"")</f>
        <v>40</v>
      </c>
      <c r="B57" s="32">
        <f t="shared" si="0"/>
        <v>42491</v>
      </c>
      <c r="C57" s="30">
        <f t="shared" si="6"/>
        <v>1067018.2088792324</v>
      </c>
      <c r="D57" s="30">
        <f t="shared" si="1"/>
        <v>6354.694503075656</v>
      </c>
      <c r="E57" s="31">
        <f t="shared" si="2"/>
        <v>0</v>
      </c>
      <c r="F57" s="30">
        <f t="shared" si="3"/>
        <v>6354.694503075656</v>
      </c>
      <c r="G57" s="30">
        <f t="shared" si="4"/>
        <v>1464.1943790458408</v>
      </c>
      <c r="H57" s="30">
        <f t="shared" si="7"/>
        <v>4890.5001240298152</v>
      </c>
      <c r="I57" s="30">
        <f t="shared" si="5"/>
        <v>1065554.0145001865</v>
      </c>
      <c r="J57" s="30">
        <f>SUM($H$18:$H57)</f>
        <v>200541.79462321309</v>
      </c>
    </row>
    <row r="58" spans="1:10" x14ac:dyDescent="0.2">
      <c r="A58" s="33">
        <f>IF(Values_Entered,A57+1,"")</f>
        <v>41</v>
      </c>
      <c r="B58" s="32">
        <f t="shared" si="0"/>
        <v>42521</v>
      </c>
      <c r="C58" s="30">
        <f t="shared" si="6"/>
        <v>1065554.0145001865</v>
      </c>
      <c r="D58" s="30">
        <f t="shared" si="1"/>
        <v>6354.694503075656</v>
      </c>
      <c r="E58" s="31">
        <f t="shared" si="2"/>
        <v>0</v>
      </c>
      <c r="F58" s="30">
        <f t="shared" si="3"/>
        <v>6354.694503075656</v>
      </c>
      <c r="G58" s="30">
        <f t="shared" si="4"/>
        <v>1470.9052699498015</v>
      </c>
      <c r="H58" s="30">
        <f t="shared" si="7"/>
        <v>4883.7892331258545</v>
      </c>
      <c r="I58" s="30">
        <f t="shared" si="5"/>
        <v>1064083.1092302368</v>
      </c>
      <c r="J58" s="30">
        <f>SUM($H$18:$H58)</f>
        <v>205425.58385633896</v>
      </c>
    </row>
    <row r="59" spans="1:10" x14ac:dyDescent="0.2">
      <c r="A59" s="33">
        <f>IF(Values_Entered,A58+1,"")</f>
        <v>42</v>
      </c>
      <c r="B59" s="32">
        <f t="shared" si="0"/>
        <v>42552</v>
      </c>
      <c r="C59" s="30">
        <f t="shared" si="6"/>
        <v>1064083.1092302368</v>
      </c>
      <c r="D59" s="30">
        <f t="shared" si="1"/>
        <v>6354.694503075656</v>
      </c>
      <c r="E59" s="31">
        <f t="shared" si="2"/>
        <v>0</v>
      </c>
      <c r="F59" s="30">
        <f t="shared" si="3"/>
        <v>6354.694503075656</v>
      </c>
      <c r="G59" s="30">
        <f t="shared" si="4"/>
        <v>1477.6469191037368</v>
      </c>
      <c r="H59" s="30">
        <f t="shared" si="7"/>
        <v>4877.0475839719193</v>
      </c>
      <c r="I59" s="30">
        <f t="shared" si="5"/>
        <v>1062605.462311133</v>
      </c>
      <c r="J59" s="30">
        <f>SUM($H$18:$H59)</f>
        <v>210302.63144031088</v>
      </c>
    </row>
    <row r="60" spans="1:10" x14ac:dyDescent="0.2">
      <c r="A60" s="33">
        <f>IF(Values_Entered,A59+1,"")</f>
        <v>43</v>
      </c>
      <c r="B60" s="32">
        <f t="shared" si="0"/>
        <v>42582</v>
      </c>
      <c r="C60" s="30">
        <f t="shared" si="6"/>
        <v>1062605.462311133</v>
      </c>
      <c r="D60" s="30">
        <f t="shared" si="1"/>
        <v>6354.694503075656</v>
      </c>
      <c r="E60" s="31">
        <f t="shared" si="2"/>
        <v>0</v>
      </c>
      <c r="F60" s="30">
        <f t="shared" si="3"/>
        <v>6354.694503075656</v>
      </c>
      <c r="G60" s="30">
        <f t="shared" si="4"/>
        <v>1484.4194674829623</v>
      </c>
      <c r="H60" s="30">
        <f t="shared" si="7"/>
        <v>4870.2750355926937</v>
      </c>
      <c r="I60" s="30">
        <f t="shared" si="5"/>
        <v>1061121.0428436501</v>
      </c>
      <c r="J60" s="30">
        <f>SUM($H$18:$H60)</f>
        <v>215172.90647590358</v>
      </c>
    </row>
    <row r="61" spans="1:10" x14ac:dyDescent="0.2">
      <c r="A61" s="33">
        <f>IF(Values_Entered,A60+1,"")</f>
        <v>44</v>
      </c>
      <c r="B61" s="32">
        <f t="shared" si="0"/>
        <v>42613</v>
      </c>
      <c r="C61" s="30">
        <f t="shared" si="6"/>
        <v>1061121.0428436501</v>
      </c>
      <c r="D61" s="30">
        <f t="shared" si="1"/>
        <v>6354.694503075656</v>
      </c>
      <c r="E61" s="31">
        <f t="shared" si="2"/>
        <v>0</v>
      </c>
      <c r="F61" s="30">
        <f t="shared" si="3"/>
        <v>6354.694503075656</v>
      </c>
      <c r="G61" s="30">
        <f t="shared" si="4"/>
        <v>1491.2230567089264</v>
      </c>
      <c r="H61" s="30">
        <f t="shared" si="7"/>
        <v>4863.4714463667297</v>
      </c>
      <c r="I61" s="30">
        <f t="shared" si="5"/>
        <v>1059629.8197869412</v>
      </c>
      <c r="J61" s="30">
        <f>SUM($H$18:$H61)</f>
        <v>220036.3779222703</v>
      </c>
    </row>
    <row r="62" spans="1:10" x14ac:dyDescent="0.2">
      <c r="A62" s="33">
        <f>IF(Values_Entered,A61+1,"")</f>
        <v>45</v>
      </c>
      <c r="B62" s="32">
        <f t="shared" si="0"/>
        <v>42644</v>
      </c>
      <c r="C62" s="30">
        <f t="shared" si="6"/>
        <v>1059629.8197869412</v>
      </c>
      <c r="D62" s="30">
        <f t="shared" si="1"/>
        <v>6354.694503075656</v>
      </c>
      <c r="E62" s="31">
        <f t="shared" si="2"/>
        <v>0</v>
      </c>
      <c r="F62" s="30">
        <f t="shared" si="3"/>
        <v>6354.694503075656</v>
      </c>
      <c r="G62" s="30">
        <f t="shared" si="4"/>
        <v>1498.0578290521762</v>
      </c>
      <c r="H62" s="30">
        <f t="shared" si="7"/>
        <v>4856.6366740234798</v>
      </c>
      <c r="I62" s="30">
        <f t="shared" si="5"/>
        <v>1058131.761957889</v>
      </c>
      <c r="J62" s="30">
        <f>SUM($H$18:$H62)</f>
        <v>224893.01459629377</v>
      </c>
    </row>
    <row r="63" spans="1:10" x14ac:dyDescent="0.2">
      <c r="A63" s="33">
        <f>IF(Values_Entered,A62+1,"")</f>
        <v>46</v>
      </c>
      <c r="B63" s="32">
        <f t="shared" si="0"/>
        <v>42674</v>
      </c>
      <c r="C63" s="30">
        <f t="shared" si="6"/>
        <v>1058131.761957889</v>
      </c>
      <c r="D63" s="30">
        <f t="shared" si="1"/>
        <v>6354.694503075656</v>
      </c>
      <c r="E63" s="31">
        <f t="shared" si="2"/>
        <v>0</v>
      </c>
      <c r="F63" s="30">
        <f t="shared" si="3"/>
        <v>6354.694503075656</v>
      </c>
      <c r="G63" s="30">
        <f t="shared" si="4"/>
        <v>1504.9239274353322</v>
      </c>
      <c r="H63" s="30">
        <f t="shared" si="7"/>
        <v>4849.7705756403238</v>
      </c>
      <c r="I63" s="30">
        <f t="shared" si="5"/>
        <v>1056626.8380304535</v>
      </c>
      <c r="J63" s="30">
        <f>SUM($H$18:$H63)</f>
        <v>229742.78517193408</v>
      </c>
    </row>
    <row r="64" spans="1:10" x14ac:dyDescent="0.2">
      <c r="A64" s="33">
        <f>IF(Values_Entered,A63+1,"")</f>
        <v>47</v>
      </c>
      <c r="B64" s="32">
        <f t="shared" si="0"/>
        <v>42705</v>
      </c>
      <c r="C64" s="30">
        <f t="shared" si="6"/>
        <v>1056626.8380304535</v>
      </c>
      <c r="D64" s="30">
        <f t="shared" si="1"/>
        <v>6354.694503075656</v>
      </c>
      <c r="E64" s="31">
        <f t="shared" si="2"/>
        <v>0</v>
      </c>
      <c r="F64" s="30">
        <f t="shared" si="3"/>
        <v>6354.694503075656</v>
      </c>
      <c r="G64" s="30">
        <f t="shared" si="4"/>
        <v>1511.8214954360774</v>
      </c>
      <c r="H64" s="30">
        <f t="shared" si="7"/>
        <v>4842.8730076395786</v>
      </c>
      <c r="I64" s="30">
        <f t="shared" si="5"/>
        <v>1055115.0165350174</v>
      </c>
      <c r="J64" s="30">
        <f>SUM($H$18:$H64)</f>
        <v>234585.65817957366</v>
      </c>
    </row>
    <row r="65" spans="1:10" x14ac:dyDescent="0.2">
      <c r="A65" s="33">
        <f>IF(Values_Entered,A64+1,"")</f>
        <v>48</v>
      </c>
      <c r="B65" s="32">
        <f t="shared" si="0"/>
        <v>42735</v>
      </c>
      <c r="C65" s="30">
        <f t="shared" si="6"/>
        <v>1055115.0165350174</v>
      </c>
      <c r="D65" s="30">
        <f t="shared" si="1"/>
        <v>6354.694503075656</v>
      </c>
      <c r="E65" s="31">
        <f t="shared" si="2"/>
        <v>0</v>
      </c>
      <c r="F65" s="30">
        <f t="shared" si="3"/>
        <v>6354.694503075656</v>
      </c>
      <c r="G65" s="30">
        <f t="shared" si="4"/>
        <v>1518.7506772901597</v>
      </c>
      <c r="H65" s="30">
        <f t="shared" si="7"/>
        <v>4835.9438257854963</v>
      </c>
      <c r="I65" s="30">
        <f t="shared" si="5"/>
        <v>1053596.2658577273</v>
      </c>
      <c r="J65" s="30">
        <f>SUM($H$18:$H65)</f>
        <v>239421.60200535916</v>
      </c>
    </row>
    <row r="66" spans="1:10" x14ac:dyDescent="0.2">
      <c r="A66" s="33">
        <f>IF(Values_Entered,A65+1,"")</f>
        <v>49</v>
      </c>
      <c r="B66" s="32">
        <f t="shared" si="0"/>
        <v>42766</v>
      </c>
      <c r="C66" s="30">
        <f t="shared" si="6"/>
        <v>1053596.2658577273</v>
      </c>
      <c r="D66" s="30">
        <f t="shared" si="1"/>
        <v>6354.694503075656</v>
      </c>
      <c r="E66" s="31">
        <f t="shared" si="2"/>
        <v>0</v>
      </c>
      <c r="F66" s="30">
        <f t="shared" si="3"/>
        <v>6354.694503075656</v>
      </c>
      <c r="G66" s="30">
        <f t="shared" si="4"/>
        <v>1525.7116178944061</v>
      </c>
      <c r="H66" s="30">
        <f t="shared" si="7"/>
        <v>4828.9828851812499</v>
      </c>
      <c r="I66" s="30">
        <f t="shared" si="5"/>
        <v>1052070.5542398328</v>
      </c>
      <c r="J66" s="30">
        <f>SUM($H$18:$H66)</f>
        <v>244250.58489054043</v>
      </c>
    </row>
    <row r="67" spans="1:10" x14ac:dyDescent="0.2">
      <c r="A67" s="33">
        <f>IF(Values_Entered,A66+1,"")</f>
        <v>50</v>
      </c>
      <c r="B67" s="32">
        <f t="shared" si="0"/>
        <v>42797</v>
      </c>
      <c r="C67" s="30">
        <f t="shared" si="6"/>
        <v>1052070.5542398328</v>
      </c>
      <c r="D67" s="30">
        <f t="shared" si="1"/>
        <v>6354.694503075656</v>
      </c>
      <c r="E67" s="31">
        <f t="shared" si="2"/>
        <v>0</v>
      </c>
      <c r="F67" s="30">
        <f t="shared" si="3"/>
        <v>6354.694503075656</v>
      </c>
      <c r="G67" s="30">
        <f t="shared" si="4"/>
        <v>1532.7044628097556</v>
      </c>
      <c r="H67" s="30">
        <f t="shared" si="7"/>
        <v>4821.9900402659005</v>
      </c>
      <c r="I67" s="30">
        <f t="shared" si="5"/>
        <v>1050537.8497770231</v>
      </c>
      <c r="J67" s="30">
        <f>SUM($H$18:$H67)</f>
        <v>249072.57493080632</v>
      </c>
    </row>
    <row r="68" spans="1:10" x14ac:dyDescent="0.2">
      <c r="A68" s="33">
        <f>IF(Values_Entered,A67+1,"")</f>
        <v>51</v>
      </c>
      <c r="B68" s="32">
        <f t="shared" si="0"/>
        <v>42825</v>
      </c>
      <c r="C68" s="30">
        <f t="shared" si="6"/>
        <v>1050537.8497770231</v>
      </c>
      <c r="D68" s="30">
        <f t="shared" si="1"/>
        <v>6354.694503075656</v>
      </c>
      <c r="E68" s="31">
        <f t="shared" si="2"/>
        <v>0</v>
      </c>
      <c r="F68" s="30">
        <f t="shared" si="3"/>
        <v>6354.694503075656</v>
      </c>
      <c r="G68" s="30">
        <f t="shared" si="4"/>
        <v>1539.7293582643006</v>
      </c>
      <c r="H68" s="30">
        <f t="shared" si="7"/>
        <v>4814.9651448113555</v>
      </c>
      <c r="I68" s="30">
        <f t="shared" si="5"/>
        <v>1048998.1204187588</v>
      </c>
      <c r="J68" s="30">
        <f>SUM($H$18:$H68)</f>
        <v>253887.54007561767</v>
      </c>
    </row>
    <row r="69" spans="1:10" x14ac:dyDescent="0.2">
      <c r="A69" s="33">
        <f>IF(Values_Entered,A68+1,"")</f>
        <v>52</v>
      </c>
      <c r="B69" s="32">
        <f t="shared" si="0"/>
        <v>42856</v>
      </c>
      <c r="C69" s="30">
        <f t="shared" si="6"/>
        <v>1048998.1204187588</v>
      </c>
      <c r="D69" s="30">
        <f t="shared" si="1"/>
        <v>6354.694503075656</v>
      </c>
      <c r="E69" s="31">
        <f t="shared" si="2"/>
        <v>0</v>
      </c>
      <c r="F69" s="30">
        <f t="shared" si="3"/>
        <v>6354.694503075656</v>
      </c>
      <c r="G69" s="30">
        <f t="shared" si="4"/>
        <v>1546.7864511563448</v>
      </c>
      <c r="H69" s="30">
        <f t="shared" si="7"/>
        <v>4807.9080519193112</v>
      </c>
      <c r="I69" s="30">
        <f t="shared" si="5"/>
        <v>1047451.3339676025</v>
      </c>
      <c r="J69" s="30">
        <f>SUM($H$18:$H69)</f>
        <v>258695.44812753698</v>
      </c>
    </row>
    <row r="70" spans="1:10" x14ac:dyDescent="0.2">
      <c r="A70" s="33">
        <f>IF(Values_Entered,A69+1,"")</f>
        <v>53</v>
      </c>
      <c r="B70" s="32">
        <f t="shared" si="0"/>
        <v>42886</v>
      </c>
      <c r="C70" s="30">
        <f t="shared" si="6"/>
        <v>1047451.3339676025</v>
      </c>
      <c r="D70" s="30">
        <f t="shared" si="1"/>
        <v>6354.694503075656</v>
      </c>
      <c r="E70" s="31">
        <f t="shared" si="2"/>
        <v>0</v>
      </c>
      <c r="F70" s="30">
        <f t="shared" si="3"/>
        <v>6354.694503075656</v>
      </c>
      <c r="G70" s="30">
        <f t="shared" si="4"/>
        <v>1553.8758890574782</v>
      </c>
      <c r="H70" s="30">
        <f t="shared" si="7"/>
        <v>4800.8186140181779</v>
      </c>
      <c r="I70" s="30">
        <f t="shared" si="5"/>
        <v>1045897.4580785449</v>
      </c>
      <c r="J70" s="30">
        <f>SUM($H$18:$H70)</f>
        <v>263496.26674155513</v>
      </c>
    </row>
    <row r="71" spans="1:10" x14ac:dyDescent="0.2">
      <c r="A71" s="33">
        <f>IF(Values_Entered,A70+1,"")</f>
        <v>54</v>
      </c>
      <c r="B71" s="32">
        <f t="shared" si="0"/>
        <v>42917</v>
      </c>
      <c r="C71" s="30">
        <f t="shared" si="6"/>
        <v>1045897.4580785449</v>
      </c>
      <c r="D71" s="30">
        <f t="shared" si="1"/>
        <v>6354.694503075656</v>
      </c>
      <c r="E71" s="31">
        <f t="shared" si="2"/>
        <v>0</v>
      </c>
      <c r="F71" s="30">
        <f t="shared" si="3"/>
        <v>6354.694503075656</v>
      </c>
      <c r="G71" s="30">
        <f t="shared" si="4"/>
        <v>1560.997820215659</v>
      </c>
      <c r="H71" s="30">
        <f t="shared" si="7"/>
        <v>4793.6966828599971</v>
      </c>
      <c r="I71" s="30">
        <f t="shared" si="5"/>
        <v>1044336.4602583293</v>
      </c>
      <c r="J71" s="30">
        <f>SUM($H$18:$H71)</f>
        <v>268289.96342441509</v>
      </c>
    </row>
    <row r="72" spans="1:10" x14ac:dyDescent="0.2">
      <c r="A72" s="33">
        <f>IF(Values_Entered,A71+1,"")</f>
        <v>55</v>
      </c>
      <c r="B72" s="32">
        <f t="shared" si="0"/>
        <v>42947</v>
      </c>
      <c r="C72" s="30">
        <f t="shared" si="6"/>
        <v>1044336.4602583293</v>
      </c>
      <c r="D72" s="30">
        <f t="shared" si="1"/>
        <v>6354.694503075656</v>
      </c>
      <c r="E72" s="31">
        <f t="shared" si="2"/>
        <v>0</v>
      </c>
      <c r="F72" s="30">
        <f t="shared" si="3"/>
        <v>6354.694503075656</v>
      </c>
      <c r="G72" s="30">
        <f t="shared" si="4"/>
        <v>1568.1523935583136</v>
      </c>
      <c r="H72" s="30">
        <f t="shared" si="7"/>
        <v>4786.5421095173424</v>
      </c>
      <c r="I72" s="30">
        <f t="shared" si="5"/>
        <v>1042768.307864771</v>
      </c>
      <c r="J72" s="30">
        <f>SUM($H$18:$H72)</f>
        <v>273076.50553393242</v>
      </c>
    </row>
    <row r="73" spans="1:10" x14ac:dyDescent="0.2">
      <c r="A73" s="33">
        <f>IF(Values_Entered,A72+1,"")</f>
        <v>56</v>
      </c>
      <c r="B73" s="32">
        <f t="shared" si="0"/>
        <v>42978</v>
      </c>
      <c r="C73" s="30">
        <f t="shared" si="6"/>
        <v>1042768.307864771</v>
      </c>
      <c r="D73" s="30">
        <f t="shared" si="1"/>
        <v>6354.694503075656</v>
      </c>
      <c r="E73" s="31">
        <f t="shared" si="2"/>
        <v>0</v>
      </c>
      <c r="F73" s="30">
        <f t="shared" si="3"/>
        <v>6354.694503075656</v>
      </c>
      <c r="G73" s="30">
        <f t="shared" si="4"/>
        <v>1575.3397586954552</v>
      </c>
      <c r="H73" s="30">
        <f t="shared" si="7"/>
        <v>4779.3547443802008</v>
      </c>
      <c r="I73" s="30">
        <f t="shared" si="5"/>
        <v>1041192.9681060755</v>
      </c>
      <c r="J73" s="30">
        <f>SUM($H$18:$H73)</f>
        <v>277855.86027831264</v>
      </c>
    </row>
    <row r="74" spans="1:10" x14ac:dyDescent="0.2">
      <c r="A74" s="33">
        <f>IF(Values_Entered,A73+1,"")</f>
        <v>57</v>
      </c>
      <c r="B74" s="32">
        <f t="shared" si="0"/>
        <v>43009</v>
      </c>
      <c r="C74" s="30">
        <f t="shared" si="6"/>
        <v>1041192.9681060755</v>
      </c>
      <c r="D74" s="30">
        <f t="shared" si="1"/>
        <v>6354.694503075656</v>
      </c>
      <c r="E74" s="31">
        <f t="shared" si="2"/>
        <v>0</v>
      </c>
      <c r="F74" s="30">
        <f t="shared" si="3"/>
        <v>6354.694503075656</v>
      </c>
      <c r="G74" s="30">
        <f t="shared" si="4"/>
        <v>1582.5600659228103</v>
      </c>
      <c r="H74" s="30">
        <f t="shared" si="7"/>
        <v>4772.1344371528457</v>
      </c>
      <c r="I74" s="30">
        <f t="shared" si="5"/>
        <v>1039610.4080401527</v>
      </c>
      <c r="J74" s="30">
        <f>SUM($H$18:$H74)</f>
        <v>282627.99471546547</v>
      </c>
    </row>
    <row r="75" spans="1:10" x14ac:dyDescent="0.2">
      <c r="A75" s="33">
        <f>IF(Values_Entered,A74+1,"")</f>
        <v>58</v>
      </c>
      <c r="B75" s="32">
        <f t="shared" si="0"/>
        <v>43039</v>
      </c>
      <c r="C75" s="30">
        <f t="shared" si="6"/>
        <v>1039610.4080401527</v>
      </c>
      <c r="D75" s="30">
        <f t="shared" si="1"/>
        <v>6354.694503075656</v>
      </c>
      <c r="E75" s="31">
        <f t="shared" si="2"/>
        <v>0</v>
      </c>
      <c r="F75" s="30">
        <f t="shared" si="3"/>
        <v>6354.694503075656</v>
      </c>
      <c r="G75" s="30">
        <f t="shared" si="4"/>
        <v>1589.8134662249558</v>
      </c>
      <c r="H75" s="30">
        <f t="shared" si="7"/>
        <v>4764.8810368507002</v>
      </c>
      <c r="I75" s="30">
        <f t="shared" si="5"/>
        <v>1038020.5945739278</v>
      </c>
      <c r="J75" s="30">
        <f>SUM($H$18:$H75)</f>
        <v>287392.87575231615</v>
      </c>
    </row>
    <row r="76" spans="1:10" x14ac:dyDescent="0.2">
      <c r="A76" s="33">
        <f>IF(Values_Entered,A75+1,"")</f>
        <v>59</v>
      </c>
      <c r="B76" s="32">
        <f t="shared" si="0"/>
        <v>43070</v>
      </c>
      <c r="C76" s="30">
        <f t="shared" si="6"/>
        <v>1038020.5945739278</v>
      </c>
      <c r="D76" s="30">
        <f t="shared" si="1"/>
        <v>6354.694503075656</v>
      </c>
      <c r="E76" s="31">
        <f t="shared" si="2"/>
        <v>0</v>
      </c>
      <c r="F76" s="30">
        <f t="shared" si="3"/>
        <v>6354.694503075656</v>
      </c>
      <c r="G76" s="30">
        <f t="shared" si="4"/>
        <v>1597.100111278487</v>
      </c>
      <c r="H76" s="30">
        <f t="shared" si="7"/>
        <v>4757.594391797169</v>
      </c>
      <c r="I76" s="30">
        <f t="shared" si="5"/>
        <v>1036423.4944626493</v>
      </c>
      <c r="J76" s="30">
        <f>SUM($H$18:$H76)</f>
        <v>292150.47014411329</v>
      </c>
    </row>
    <row r="77" spans="1:10" x14ac:dyDescent="0.2">
      <c r="A77" s="33">
        <f>IF(Values_Entered,A76+1,"")</f>
        <v>60</v>
      </c>
      <c r="B77" s="32">
        <f t="shared" si="0"/>
        <v>43100</v>
      </c>
      <c r="C77" s="30">
        <f t="shared" si="6"/>
        <v>1036423.4944626493</v>
      </c>
      <c r="D77" s="30">
        <f t="shared" si="1"/>
        <v>6354.694503075656</v>
      </c>
      <c r="E77" s="31">
        <f t="shared" si="2"/>
        <v>0</v>
      </c>
      <c r="F77" s="30">
        <f t="shared" si="3"/>
        <v>6354.694503075656</v>
      </c>
      <c r="G77" s="30">
        <f t="shared" si="4"/>
        <v>1604.4201534551803</v>
      </c>
      <c r="H77" s="30">
        <f t="shared" si="7"/>
        <v>4750.2743496204757</v>
      </c>
      <c r="I77" s="30">
        <f t="shared" si="5"/>
        <v>1034819.0743091941</v>
      </c>
      <c r="J77" s="30">
        <f>SUM($H$18:$H77)</f>
        <v>296900.74449373374</v>
      </c>
    </row>
    <row r="78" spans="1:10" x14ac:dyDescent="0.2">
      <c r="A78" s="33">
        <f>IF(Values_Entered,A77+1,"")</f>
        <v>61</v>
      </c>
      <c r="B78" s="32">
        <f t="shared" si="0"/>
        <v>43131</v>
      </c>
      <c r="C78" s="30">
        <f t="shared" si="6"/>
        <v>1034819.0743091941</v>
      </c>
      <c r="D78" s="30">
        <f t="shared" si="1"/>
        <v>6354.694503075656</v>
      </c>
      <c r="E78" s="31">
        <f t="shared" si="2"/>
        <v>0</v>
      </c>
      <c r="F78" s="30">
        <f t="shared" si="3"/>
        <v>6354.694503075656</v>
      </c>
      <c r="G78" s="30">
        <f t="shared" si="4"/>
        <v>1611.7737458251831</v>
      </c>
      <c r="H78" s="30">
        <f t="shared" si="7"/>
        <v>4742.9207572504729</v>
      </c>
      <c r="I78" s="30">
        <f t="shared" si="5"/>
        <v>1033207.3005633689</v>
      </c>
      <c r="J78" s="30">
        <f>SUM($H$18:$H78)</f>
        <v>301643.6652509842</v>
      </c>
    </row>
    <row r="79" spans="1:10" x14ac:dyDescent="0.2">
      <c r="A79" s="33">
        <f>IF(Values_Entered,A78+1,"")</f>
        <v>62</v>
      </c>
      <c r="B79" s="32">
        <f t="shared" si="0"/>
        <v>43162</v>
      </c>
      <c r="C79" s="30">
        <f t="shared" si="6"/>
        <v>1033207.3005633689</v>
      </c>
      <c r="D79" s="30">
        <f t="shared" si="1"/>
        <v>6354.694503075656</v>
      </c>
      <c r="E79" s="31">
        <f t="shared" si="2"/>
        <v>0</v>
      </c>
      <c r="F79" s="30">
        <f t="shared" si="3"/>
        <v>6354.694503075656</v>
      </c>
      <c r="G79" s="30">
        <f t="shared" si="4"/>
        <v>1619.1610421602154</v>
      </c>
      <c r="H79" s="30">
        <f t="shared" si="7"/>
        <v>4735.5334609154406</v>
      </c>
      <c r="I79" s="30">
        <f t="shared" si="5"/>
        <v>1031588.1395212087</v>
      </c>
      <c r="J79" s="30">
        <f>SUM($H$18:$H79)</f>
        <v>306379.19871189963</v>
      </c>
    </row>
    <row r="80" spans="1:10" x14ac:dyDescent="0.2">
      <c r="A80" s="33">
        <f>IF(Values_Entered,A79+1,"")</f>
        <v>63</v>
      </c>
      <c r="B80" s="32">
        <f t="shared" si="0"/>
        <v>43190</v>
      </c>
      <c r="C80" s="30">
        <f t="shared" si="6"/>
        <v>1031588.1395212087</v>
      </c>
      <c r="D80" s="30">
        <f t="shared" si="1"/>
        <v>6354.694503075656</v>
      </c>
      <c r="E80" s="31">
        <f t="shared" si="2"/>
        <v>0</v>
      </c>
      <c r="F80" s="30">
        <f t="shared" si="3"/>
        <v>6354.694503075656</v>
      </c>
      <c r="G80" s="30">
        <f t="shared" si="4"/>
        <v>1626.5821969367826</v>
      </c>
      <c r="H80" s="30">
        <f t="shared" si="7"/>
        <v>4728.1123061388735</v>
      </c>
      <c r="I80" s="30">
        <f t="shared" si="5"/>
        <v>1029961.5573242719</v>
      </c>
      <c r="J80" s="30">
        <f>SUM($H$18:$H80)</f>
        <v>311107.31101803848</v>
      </c>
    </row>
    <row r="81" spans="1:10" x14ac:dyDescent="0.2">
      <c r="A81" s="33">
        <f>IF(Values_Entered,A80+1,"")</f>
        <v>64</v>
      </c>
      <c r="B81" s="32">
        <f t="shared" si="0"/>
        <v>43221</v>
      </c>
      <c r="C81" s="30">
        <f t="shared" si="6"/>
        <v>1029961.5573242719</v>
      </c>
      <c r="D81" s="30">
        <f t="shared" si="1"/>
        <v>6354.694503075656</v>
      </c>
      <c r="E81" s="31">
        <f t="shared" si="2"/>
        <v>0</v>
      </c>
      <c r="F81" s="30">
        <f t="shared" si="3"/>
        <v>6354.694503075656</v>
      </c>
      <c r="G81" s="30">
        <f t="shared" si="4"/>
        <v>1634.0373653394099</v>
      </c>
      <c r="H81" s="30">
        <f t="shared" si="7"/>
        <v>4720.6571377362461</v>
      </c>
      <c r="I81" s="30">
        <f t="shared" si="5"/>
        <v>1028327.5199589324</v>
      </c>
      <c r="J81" s="30">
        <f>SUM($H$18:$H81)</f>
        <v>315827.96815577475</v>
      </c>
    </row>
    <row r="82" spans="1:10" x14ac:dyDescent="0.2">
      <c r="A82" s="33">
        <f>IF(Values_Entered,A81+1,"")</f>
        <v>65</v>
      </c>
      <c r="B82" s="32">
        <f t="shared" ref="B82:B145" si="8">IF(Pay_Num&lt;&gt;"",DATE(YEAR(Loan_Start),MONTH(Loan_Start)+(Pay_Num)*12/Num_Pmt_Per_Year,DAY(Loan_Start)),"")</f>
        <v>43251</v>
      </c>
      <c r="C82" s="30">
        <f t="shared" si="6"/>
        <v>1028327.5199589324</v>
      </c>
      <c r="D82" s="30">
        <f t="shared" ref="D82:D145" si="9">IF(Pay_Num&lt;&gt;"",Scheduled_Monthly_Payment,"")</f>
        <v>6354.694503075656</v>
      </c>
      <c r="E82" s="31">
        <f t="shared" ref="E82:E145" si="10">IF(AND(Pay_Num&lt;&gt;"",Sched_Pay+Scheduled_Extra_Payments&lt;Beg_Bal),Scheduled_Extra_Payments,IF(AND(Pay_Num&lt;&gt;"",Beg_Bal-Sched_Pay&gt;0),Beg_Bal-Sched_Pay,IF(Pay_Num&lt;&gt;"",0,"")))</f>
        <v>0</v>
      </c>
      <c r="F82" s="30">
        <f t="shared" ref="F82:F145" si="11">IF(AND(Pay_Num&lt;&gt;"",Sched_Pay+Extra_Pay&lt;Beg_Bal),Sched_Pay+Extra_Pay,IF(Pay_Num&lt;&gt;"",Beg_Bal,""))</f>
        <v>6354.694503075656</v>
      </c>
      <c r="G82" s="30">
        <f t="shared" ref="G82:G145" si="12">IF(Pay_Num&lt;&gt;"",Total_Pay-Int,"")</f>
        <v>1641.5267032638822</v>
      </c>
      <c r="H82" s="30">
        <f t="shared" si="7"/>
        <v>4713.1677998117739</v>
      </c>
      <c r="I82" s="30">
        <f t="shared" ref="I82:I145" si="13">IF(AND(Pay_Num&lt;&gt;"",Sched_Pay+Extra_Pay&lt;Beg_Bal),Beg_Bal-Princ,IF(Pay_Num&lt;&gt;"",0,""))</f>
        <v>1026685.9932556686</v>
      </c>
      <c r="J82" s="30">
        <f>SUM($H$18:$H82)</f>
        <v>320541.13595558651</v>
      </c>
    </row>
    <row r="83" spans="1:10" x14ac:dyDescent="0.2">
      <c r="A83" s="33">
        <f>IF(Values_Entered,A82+1,"")</f>
        <v>66</v>
      </c>
      <c r="B83" s="32">
        <f t="shared" si="8"/>
        <v>43282</v>
      </c>
      <c r="C83" s="30">
        <f t="shared" ref="C83:C146" si="14">IF(Pay_Num&lt;&gt;"",I82,"")</f>
        <v>1026685.9932556686</v>
      </c>
      <c r="D83" s="30">
        <f t="shared" si="9"/>
        <v>6354.694503075656</v>
      </c>
      <c r="E83" s="31">
        <f t="shared" si="10"/>
        <v>0</v>
      </c>
      <c r="F83" s="30">
        <f t="shared" si="11"/>
        <v>6354.694503075656</v>
      </c>
      <c r="G83" s="30">
        <f t="shared" si="12"/>
        <v>1649.0503673205085</v>
      </c>
      <c r="H83" s="30">
        <f t="shared" ref="H83:H146" si="15">IF(Pay_Num&lt;&gt;"",Beg_Bal*Interest_Rate/Num_Pmt_Per_Year,"")</f>
        <v>4705.6441357551475</v>
      </c>
      <c r="I83" s="30">
        <f t="shared" si="13"/>
        <v>1025036.942888348</v>
      </c>
      <c r="J83" s="30">
        <f>SUM($H$18:$H83)</f>
        <v>325246.78009134164</v>
      </c>
    </row>
    <row r="84" spans="1:10" x14ac:dyDescent="0.2">
      <c r="A84" s="33">
        <f>IF(Values_Entered,A83+1,"")</f>
        <v>67</v>
      </c>
      <c r="B84" s="32">
        <f t="shared" si="8"/>
        <v>43312</v>
      </c>
      <c r="C84" s="30">
        <f t="shared" si="14"/>
        <v>1025036.942888348</v>
      </c>
      <c r="D84" s="30">
        <f t="shared" si="9"/>
        <v>6354.694503075656</v>
      </c>
      <c r="E84" s="31">
        <f t="shared" si="10"/>
        <v>0</v>
      </c>
      <c r="F84" s="30">
        <f t="shared" si="11"/>
        <v>6354.694503075656</v>
      </c>
      <c r="G84" s="30">
        <f t="shared" si="12"/>
        <v>1656.6085148373941</v>
      </c>
      <c r="H84" s="30">
        <f t="shared" si="15"/>
        <v>4698.085988238262</v>
      </c>
      <c r="I84" s="30">
        <f t="shared" si="13"/>
        <v>1023380.3343735107</v>
      </c>
      <c r="J84" s="30">
        <f>SUM($H$18:$H84)</f>
        <v>329944.86607957992</v>
      </c>
    </row>
    <row r="85" spans="1:10" x14ac:dyDescent="0.2">
      <c r="A85" s="33">
        <f>IF(Values_Entered,A84+1,"")</f>
        <v>68</v>
      </c>
      <c r="B85" s="32">
        <f t="shared" si="8"/>
        <v>43343</v>
      </c>
      <c r="C85" s="30">
        <f t="shared" si="14"/>
        <v>1023380.3343735107</v>
      </c>
      <c r="D85" s="30">
        <f t="shared" si="9"/>
        <v>6354.694503075656</v>
      </c>
      <c r="E85" s="31">
        <f t="shared" si="10"/>
        <v>0</v>
      </c>
      <c r="F85" s="30">
        <f t="shared" si="11"/>
        <v>6354.694503075656</v>
      </c>
      <c r="G85" s="30">
        <f t="shared" si="12"/>
        <v>1664.2013038637315</v>
      </c>
      <c r="H85" s="30">
        <f t="shared" si="15"/>
        <v>4690.4931992119245</v>
      </c>
      <c r="I85" s="30">
        <f t="shared" si="13"/>
        <v>1021716.1330696469</v>
      </c>
      <c r="J85" s="30">
        <f>SUM($H$18:$H85)</f>
        <v>334635.35927879188</v>
      </c>
    </row>
    <row r="86" spans="1:10" x14ac:dyDescent="0.2">
      <c r="A86" s="33">
        <f>IF(Values_Entered,A85+1,"")</f>
        <v>69</v>
      </c>
      <c r="B86" s="32">
        <f t="shared" si="8"/>
        <v>43374</v>
      </c>
      <c r="C86" s="30">
        <f t="shared" si="14"/>
        <v>1021716.1330696469</v>
      </c>
      <c r="D86" s="30">
        <f t="shared" si="9"/>
        <v>6354.694503075656</v>
      </c>
      <c r="E86" s="31">
        <f t="shared" si="10"/>
        <v>0</v>
      </c>
      <c r="F86" s="30">
        <f t="shared" si="11"/>
        <v>6354.694503075656</v>
      </c>
      <c r="G86" s="30">
        <f t="shared" si="12"/>
        <v>1671.8288931731076</v>
      </c>
      <c r="H86" s="30">
        <f t="shared" si="15"/>
        <v>4682.8656099025484</v>
      </c>
      <c r="I86" s="30">
        <f t="shared" si="13"/>
        <v>1020044.3041764738</v>
      </c>
      <c r="J86" s="30">
        <f>SUM($H$18:$H86)</f>
        <v>339318.22488869441</v>
      </c>
    </row>
    <row r="87" spans="1:10" x14ac:dyDescent="0.2">
      <c r="A87" s="33">
        <f>IF(Values_Entered,A86+1,"")</f>
        <v>70</v>
      </c>
      <c r="B87" s="32">
        <f t="shared" si="8"/>
        <v>43404</v>
      </c>
      <c r="C87" s="30">
        <f t="shared" si="14"/>
        <v>1020044.3041764738</v>
      </c>
      <c r="D87" s="30">
        <f t="shared" si="9"/>
        <v>6354.694503075656</v>
      </c>
      <c r="E87" s="31">
        <f t="shared" si="10"/>
        <v>0</v>
      </c>
      <c r="F87" s="30">
        <f t="shared" si="11"/>
        <v>6354.694503075656</v>
      </c>
      <c r="G87" s="30">
        <f t="shared" si="12"/>
        <v>1679.491442266818</v>
      </c>
      <c r="H87" s="30">
        <f t="shared" si="15"/>
        <v>4675.203060808838</v>
      </c>
      <c r="I87" s="30">
        <f t="shared" si="13"/>
        <v>1018364.8127342069</v>
      </c>
      <c r="J87" s="30">
        <f>SUM($H$18:$H87)</f>
        <v>343993.42794950324</v>
      </c>
    </row>
    <row r="88" spans="1:10" x14ac:dyDescent="0.2">
      <c r="A88" s="33">
        <f>IF(Values_Entered,A87+1,"")</f>
        <v>71</v>
      </c>
      <c r="B88" s="32">
        <f t="shared" si="8"/>
        <v>43435</v>
      </c>
      <c r="C88" s="30">
        <f t="shared" si="14"/>
        <v>1018364.8127342069</v>
      </c>
      <c r="D88" s="30">
        <f t="shared" si="9"/>
        <v>6354.694503075656</v>
      </c>
      <c r="E88" s="31">
        <f t="shared" si="10"/>
        <v>0</v>
      </c>
      <c r="F88" s="30">
        <f t="shared" si="11"/>
        <v>6354.694503075656</v>
      </c>
      <c r="G88" s="30">
        <f t="shared" si="12"/>
        <v>1687.1891113772081</v>
      </c>
      <c r="H88" s="30">
        <f t="shared" si="15"/>
        <v>4667.505391698448</v>
      </c>
      <c r="I88" s="30">
        <f t="shared" si="13"/>
        <v>1016677.6236228297</v>
      </c>
      <c r="J88" s="30">
        <f>SUM($H$18:$H88)</f>
        <v>348660.93334120169</v>
      </c>
    </row>
    <row r="89" spans="1:10" x14ac:dyDescent="0.2">
      <c r="A89" s="33">
        <f>IF(Values_Entered,A88+1,"")</f>
        <v>72</v>
      </c>
      <c r="B89" s="32">
        <f t="shared" si="8"/>
        <v>43465</v>
      </c>
      <c r="C89" s="30">
        <f t="shared" si="14"/>
        <v>1016677.6236228297</v>
      </c>
      <c r="D89" s="30">
        <f t="shared" si="9"/>
        <v>6354.694503075656</v>
      </c>
      <c r="E89" s="31">
        <f t="shared" si="10"/>
        <v>0</v>
      </c>
      <c r="F89" s="30">
        <f t="shared" si="11"/>
        <v>6354.694503075656</v>
      </c>
      <c r="G89" s="30">
        <f t="shared" si="12"/>
        <v>1694.9220614710202</v>
      </c>
      <c r="H89" s="30">
        <f t="shared" si="15"/>
        <v>4659.7724416046358</v>
      </c>
      <c r="I89" s="30">
        <f t="shared" si="13"/>
        <v>1014982.7015613586</v>
      </c>
      <c r="J89" s="30">
        <f>SUM($H$18:$H89)</f>
        <v>353320.70578280633</v>
      </c>
    </row>
    <row r="90" spans="1:10" x14ac:dyDescent="0.2">
      <c r="A90" s="33">
        <f>IF(Values_Entered,A89+1,"")</f>
        <v>73</v>
      </c>
      <c r="B90" s="32">
        <f t="shared" si="8"/>
        <v>43496</v>
      </c>
      <c r="C90" s="30">
        <f t="shared" si="14"/>
        <v>1014982.7015613586</v>
      </c>
      <c r="D90" s="30">
        <f t="shared" si="9"/>
        <v>6354.694503075656</v>
      </c>
      <c r="E90" s="31">
        <f t="shared" si="10"/>
        <v>0</v>
      </c>
      <c r="F90" s="30">
        <f t="shared" si="11"/>
        <v>6354.694503075656</v>
      </c>
      <c r="G90" s="30">
        <f t="shared" si="12"/>
        <v>1702.6904542527618</v>
      </c>
      <c r="H90" s="30">
        <f t="shared" si="15"/>
        <v>4652.0040488228942</v>
      </c>
      <c r="I90" s="30">
        <f t="shared" si="13"/>
        <v>1013280.0111071059</v>
      </c>
      <c r="J90" s="30">
        <f>SUM($H$18:$H90)</f>
        <v>357972.70983162924</v>
      </c>
    </row>
    <row r="91" spans="1:10" x14ac:dyDescent="0.2">
      <c r="A91" s="33">
        <f>IF(Values_Entered,A90+1,"")</f>
        <v>74</v>
      </c>
      <c r="B91" s="32">
        <f t="shared" si="8"/>
        <v>43527</v>
      </c>
      <c r="C91" s="30">
        <f t="shared" si="14"/>
        <v>1013280.0111071059</v>
      </c>
      <c r="D91" s="30">
        <f t="shared" si="9"/>
        <v>6354.694503075656</v>
      </c>
      <c r="E91" s="31">
        <f t="shared" si="10"/>
        <v>0</v>
      </c>
      <c r="F91" s="30">
        <f t="shared" si="11"/>
        <v>6354.694503075656</v>
      </c>
      <c r="G91" s="30">
        <f t="shared" si="12"/>
        <v>1710.4944521680873</v>
      </c>
      <c r="H91" s="30">
        <f t="shared" si="15"/>
        <v>4644.2000509075688</v>
      </c>
      <c r="I91" s="30">
        <f t="shared" si="13"/>
        <v>1011569.5166549378</v>
      </c>
      <c r="J91" s="30">
        <f>SUM($H$18:$H91)</f>
        <v>362616.9098825368</v>
      </c>
    </row>
    <row r="92" spans="1:10" x14ac:dyDescent="0.2">
      <c r="A92" s="33">
        <f>IF(Values_Entered,A91+1,"")</f>
        <v>75</v>
      </c>
      <c r="B92" s="32">
        <f t="shared" si="8"/>
        <v>43555</v>
      </c>
      <c r="C92" s="30">
        <f t="shared" si="14"/>
        <v>1011569.5166549378</v>
      </c>
      <c r="D92" s="30">
        <f t="shared" si="9"/>
        <v>6354.694503075656</v>
      </c>
      <c r="E92" s="31">
        <f t="shared" si="10"/>
        <v>0</v>
      </c>
      <c r="F92" s="30">
        <f t="shared" si="11"/>
        <v>6354.694503075656</v>
      </c>
      <c r="G92" s="30">
        <f t="shared" si="12"/>
        <v>1718.3342184071907</v>
      </c>
      <c r="H92" s="30">
        <f t="shared" si="15"/>
        <v>4636.3602846684653</v>
      </c>
      <c r="I92" s="30">
        <f t="shared" si="13"/>
        <v>1009851.1824365306</v>
      </c>
      <c r="J92" s="30">
        <f>SUM($H$18:$H92)</f>
        <v>367253.27016720525</v>
      </c>
    </row>
    <row r="93" spans="1:10" x14ac:dyDescent="0.2">
      <c r="A93" s="33">
        <f>IF(Values_Entered,A92+1,"")</f>
        <v>76</v>
      </c>
      <c r="B93" s="32">
        <f t="shared" si="8"/>
        <v>43586</v>
      </c>
      <c r="C93" s="30">
        <f t="shared" si="14"/>
        <v>1009851.1824365306</v>
      </c>
      <c r="D93" s="30">
        <f t="shared" si="9"/>
        <v>6354.694503075656</v>
      </c>
      <c r="E93" s="31">
        <f t="shared" si="10"/>
        <v>0</v>
      </c>
      <c r="F93" s="30">
        <f t="shared" si="11"/>
        <v>6354.694503075656</v>
      </c>
      <c r="G93" s="30">
        <f t="shared" si="12"/>
        <v>1726.2099169082239</v>
      </c>
      <c r="H93" s="30">
        <f t="shared" si="15"/>
        <v>4628.4845861674321</v>
      </c>
      <c r="I93" s="30">
        <f t="shared" si="13"/>
        <v>1008124.9725196224</v>
      </c>
      <c r="J93" s="30">
        <f>SUM($H$18:$H93)</f>
        <v>371881.75475337269</v>
      </c>
    </row>
    <row r="94" spans="1:10" x14ac:dyDescent="0.2">
      <c r="A94" s="33">
        <f>IF(Values_Entered,A93+1,"")</f>
        <v>77</v>
      </c>
      <c r="B94" s="32">
        <f t="shared" si="8"/>
        <v>43616</v>
      </c>
      <c r="C94" s="30">
        <f t="shared" si="14"/>
        <v>1008124.9725196224</v>
      </c>
      <c r="D94" s="30">
        <f t="shared" si="9"/>
        <v>6354.694503075656</v>
      </c>
      <c r="E94" s="31">
        <f t="shared" si="10"/>
        <v>0</v>
      </c>
      <c r="F94" s="30">
        <f t="shared" si="11"/>
        <v>6354.694503075656</v>
      </c>
      <c r="G94" s="30">
        <f t="shared" si="12"/>
        <v>1734.1217123607194</v>
      </c>
      <c r="H94" s="30">
        <f t="shared" si="15"/>
        <v>4620.5727907149367</v>
      </c>
      <c r="I94" s="30">
        <f t="shared" si="13"/>
        <v>1006390.8508072617</v>
      </c>
      <c r="J94" s="30">
        <f>SUM($H$18:$H94)</f>
        <v>376502.3275440876</v>
      </c>
    </row>
    <row r="95" spans="1:10" x14ac:dyDescent="0.2">
      <c r="A95" s="33">
        <f>IF(Values_Entered,A94+1,"")</f>
        <v>78</v>
      </c>
      <c r="B95" s="32">
        <f t="shared" si="8"/>
        <v>43647</v>
      </c>
      <c r="C95" s="30">
        <f t="shared" si="14"/>
        <v>1006390.8508072617</v>
      </c>
      <c r="D95" s="30">
        <f t="shared" si="9"/>
        <v>6354.694503075656</v>
      </c>
      <c r="E95" s="31">
        <f t="shared" si="10"/>
        <v>0</v>
      </c>
      <c r="F95" s="30">
        <f t="shared" si="11"/>
        <v>6354.694503075656</v>
      </c>
      <c r="G95" s="30">
        <f t="shared" si="12"/>
        <v>1742.0697702090401</v>
      </c>
      <c r="H95" s="30">
        <f t="shared" si="15"/>
        <v>4612.6247328666159</v>
      </c>
      <c r="I95" s="30">
        <f t="shared" si="13"/>
        <v>1004648.7810370526</v>
      </c>
      <c r="J95" s="30">
        <f>SUM($H$18:$H95)</f>
        <v>381114.95227695419</v>
      </c>
    </row>
    <row r="96" spans="1:10" x14ac:dyDescent="0.2">
      <c r="A96" s="33">
        <f>IF(Values_Entered,A95+1,"")</f>
        <v>79</v>
      </c>
      <c r="B96" s="32">
        <f t="shared" si="8"/>
        <v>43677</v>
      </c>
      <c r="C96" s="30">
        <f t="shared" si="14"/>
        <v>1004648.7810370526</v>
      </c>
      <c r="D96" s="30">
        <f t="shared" si="9"/>
        <v>6354.694503075656</v>
      </c>
      <c r="E96" s="31">
        <f t="shared" si="10"/>
        <v>0</v>
      </c>
      <c r="F96" s="30">
        <f t="shared" si="11"/>
        <v>6354.694503075656</v>
      </c>
      <c r="G96" s="30">
        <f t="shared" si="12"/>
        <v>1750.0542566558315</v>
      </c>
      <c r="H96" s="30">
        <f t="shared" si="15"/>
        <v>4604.6402464198245</v>
      </c>
      <c r="I96" s="30">
        <f t="shared" si="13"/>
        <v>1002898.7267803968</v>
      </c>
      <c r="J96" s="30">
        <f>SUM($H$18:$H96)</f>
        <v>385719.59252337401</v>
      </c>
    </row>
    <row r="97" spans="1:10" x14ac:dyDescent="0.2">
      <c r="A97" s="33">
        <f>IF(Values_Entered,A96+1,"")</f>
        <v>80</v>
      </c>
      <c r="B97" s="32">
        <f t="shared" si="8"/>
        <v>43708</v>
      </c>
      <c r="C97" s="30">
        <f t="shared" si="14"/>
        <v>1002898.7267803968</v>
      </c>
      <c r="D97" s="30">
        <f t="shared" si="9"/>
        <v>6354.694503075656</v>
      </c>
      <c r="E97" s="31">
        <f t="shared" si="10"/>
        <v>0</v>
      </c>
      <c r="F97" s="30">
        <f t="shared" si="11"/>
        <v>6354.694503075656</v>
      </c>
      <c r="G97" s="30">
        <f t="shared" si="12"/>
        <v>1758.0753386655042</v>
      </c>
      <c r="H97" s="30">
        <f t="shared" si="15"/>
        <v>4596.6191644101518</v>
      </c>
      <c r="I97" s="30">
        <f t="shared" si="13"/>
        <v>1001140.6514417313</v>
      </c>
      <c r="J97" s="30">
        <f>SUM($H$18:$H97)</f>
        <v>390316.21168778418</v>
      </c>
    </row>
    <row r="98" spans="1:10" x14ac:dyDescent="0.2">
      <c r="A98" s="33">
        <f>IF(Values_Entered,A97+1,"")</f>
        <v>81</v>
      </c>
      <c r="B98" s="32">
        <f t="shared" si="8"/>
        <v>43739</v>
      </c>
      <c r="C98" s="30">
        <f t="shared" si="14"/>
        <v>1001140.6514417313</v>
      </c>
      <c r="D98" s="30">
        <f t="shared" si="9"/>
        <v>6354.694503075656</v>
      </c>
      <c r="E98" s="31">
        <f t="shared" si="10"/>
        <v>0</v>
      </c>
      <c r="F98" s="30">
        <f t="shared" si="11"/>
        <v>6354.694503075656</v>
      </c>
      <c r="G98" s="30">
        <f t="shared" si="12"/>
        <v>1766.1331839677214</v>
      </c>
      <c r="H98" s="30">
        <f t="shared" si="15"/>
        <v>4588.5613191079347</v>
      </c>
      <c r="I98" s="30">
        <f t="shared" si="13"/>
        <v>999374.51825776359</v>
      </c>
      <c r="J98" s="30">
        <f>SUM($H$18:$H98)</f>
        <v>394904.77300689212</v>
      </c>
    </row>
    <row r="99" spans="1:10" x14ac:dyDescent="0.2">
      <c r="A99" s="33">
        <f>IF(Values_Entered,A98+1,"")</f>
        <v>82</v>
      </c>
      <c r="B99" s="32">
        <f t="shared" si="8"/>
        <v>43769</v>
      </c>
      <c r="C99" s="30">
        <f t="shared" si="14"/>
        <v>999374.51825776359</v>
      </c>
      <c r="D99" s="30">
        <f t="shared" si="9"/>
        <v>6354.694503075656</v>
      </c>
      <c r="E99" s="31">
        <f t="shared" si="10"/>
        <v>0</v>
      </c>
      <c r="F99" s="30">
        <f t="shared" si="11"/>
        <v>6354.694503075656</v>
      </c>
      <c r="G99" s="30">
        <f t="shared" si="12"/>
        <v>1774.2279610609066</v>
      </c>
      <c r="H99" s="30">
        <f t="shared" si="15"/>
        <v>4580.4665420147494</v>
      </c>
      <c r="I99" s="30">
        <f t="shared" si="13"/>
        <v>997600.29029670265</v>
      </c>
      <c r="J99" s="30">
        <f>SUM($H$18:$H99)</f>
        <v>399485.23954890686</v>
      </c>
    </row>
    <row r="100" spans="1:10" x14ac:dyDescent="0.2">
      <c r="A100" s="33">
        <f>IF(Values_Entered,A99+1,"")</f>
        <v>83</v>
      </c>
      <c r="B100" s="32">
        <f t="shared" si="8"/>
        <v>43800</v>
      </c>
      <c r="C100" s="30">
        <f t="shared" si="14"/>
        <v>997600.29029670265</v>
      </c>
      <c r="D100" s="30">
        <f t="shared" si="9"/>
        <v>6354.694503075656</v>
      </c>
      <c r="E100" s="31">
        <f t="shared" si="10"/>
        <v>0</v>
      </c>
      <c r="F100" s="30">
        <f t="shared" si="11"/>
        <v>6354.694503075656</v>
      </c>
      <c r="G100" s="30">
        <f t="shared" si="12"/>
        <v>1782.3598392157692</v>
      </c>
      <c r="H100" s="30">
        <f t="shared" si="15"/>
        <v>4572.3346638598869</v>
      </c>
      <c r="I100" s="30">
        <f t="shared" si="13"/>
        <v>995817.93045748689</v>
      </c>
      <c r="J100" s="30">
        <f>SUM($H$18:$H100)</f>
        <v>404057.57421276672</v>
      </c>
    </row>
    <row r="101" spans="1:10" x14ac:dyDescent="0.2">
      <c r="A101" s="33">
        <f>IF(Values_Entered,A100+1,"")</f>
        <v>84</v>
      </c>
      <c r="B101" s="32">
        <f t="shared" si="8"/>
        <v>43830</v>
      </c>
      <c r="C101" s="30">
        <f t="shared" si="14"/>
        <v>995817.93045748689</v>
      </c>
      <c r="D101" s="30">
        <f t="shared" si="9"/>
        <v>6354.694503075656</v>
      </c>
      <c r="E101" s="31">
        <f t="shared" si="10"/>
        <v>0</v>
      </c>
      <c r="F101" s="30">
        <f t="shared" si="11"/>
        <v>6354.694503075656</v>
      </c>
      <c r="G101" s="30">
        <f t="shared" si="12"/>
        <v>1790.5289884788408</v>
      </c>
      <c r="H101" s="30">
        <f t="shared" si="15"/>
        <v>4564.1655145968152</v>
      </c>
      <c r="I101" s="30">
        <f t="shared" si="13"/>
        <v>994027.40146900807</v>
      </c>
      <c r="J101" s="30">
        <f>SUM($H$18:$H101)</f>
        <v>408621.73972736351</v>
      </c>
    </row>
    <row r="102" spans="1:10" x14ac:dyDescent="0.2">
      <c r="A102" s="33">
        <f>IF(Values_Entered,A101+1,"")</f>
        <v>85</v>
      </c>
      <c r="B102" s="32">
        <f t="shared" si="8"/>
        <v>43861</v>
      </c>
      <c r="C102" s="30">
        <f t="shared" si="14"/>
        <v>994027.40146900807</v>
      </c>
      <c r="D102" s="30">
        <f t="shared" si="9"/>
        <v>6354.694503075656</v>
      </c>
      <c r="E102" s="31">
        <f t="shared" si="10"/>
        <v>0</v>
      </c>
      <c r="F102" s="30">
        <f t="shared" si="11"/>
        <v>6354.694503075656</v>
      </c>
      <c r="G102" s="30">
        <f t="shared" si="12"/>
        <v>1798.7355796760357</v>
      </c>
      <c r="H102" s="30">
        <f t="shared" si="15"/>
        <v>4555.9589233996203</v>
      </c>
      <c r="I102" s="30">
        <f t="shared" si="13"/>
        <v>992228.66588933207</v>
      </c>
      <c r="J102" s="30">
        <f>SUM($H$18:$H102)</f>
        <v>413177.69865076314</v>
      </c>
    </row>
    <row r="103" spans="1:10" x14ac:dyDescent="0.2">
      <c r="A103" s="33">
        <f>IF(Values_Entered,A102+1,"")</f>
        <v>86</v>
      </c>
      <c r="B103" s="32">
        <f t="shared" si="8"/>
        <v>43892</v>
      </c>
      <c r="C103" s="30">
        <f t="shared" si="14"/>
        <v>992228.66588933207</v>
      </c>
      <c r="D103" s="30">
        <f t="shared" si="9"/>
        <v>6354.694503075656</v>
      </c>
      <c r="E103" s="31">
        <f t="shared" si="10"/>
        <v>0</v>
      </c>
      <c r="F103" s="30">
        <f t="shared" si="11"/>
        <v>6354.694503075656</v>
      </c>
      <c r="G103" s="30">
        <f t="shared" si="12"/>
        <v>1806.9797844162176</v>
      </c>
      <c r="H103" s="30">
        <f t="shared" si="15"/>
        <v>4547.7147186594384</v>
      </c>
      <c r="I103" s="30">
        <f t="shared" si="13"/>
        <v>990421.6861049158</v>
      </c>
      <c r="J103" s="30">
        <f>SUM($H$18:$H103)</f>
        <v>417725.4133694226</v>
      </c>
    </row>
    <row r="104" spans="1:10" x14ac:dyDescent="0.2">
      <c r="A104" s="33">
        <f>IF(Values_Entered,A103+1,"")</f>
        <v>87</v>
      </c>
      <c r="B104" s="32">
        <f t="shared" si="8"/>
        <v>43921</v>
      </c>
      <c r="C104" s="30">
        <f t="shared" si="14"/>
        <v>990421.6861049158</v>
      </c>
      <c r="D104" s="30">
        <f t="shared" si="9"/>
        <v>6354.694503075656</v>
      </c>
      <c r="E104" s="31">
        <f t="shared" si="10"/>
        <v>0</v>
      </c>
      <c r="F104" s="30">
        <f t="shared" si="11"/>
        <v>6354.694503075656</v>
      </c>
      <c r="G104" s="30">
        <f t="shared" si="12"/>
        <v>1815.261775094792</v>
      </c>
      <c r="H104" s="30">
        <f t="shared" si="15"/>
        <v>4539.432727980864</v>
      </c>
      <c r="I104" s="30">
        <f t="shared" si="13"/>
        <v>988606.42432982102</v>
      </c>
      <c r="J104" s="30">
        <f>SUM($H$18:$H104)</f>
        <v>422264.84609740344</v>
      </c>
    </row>
    <row r="105" spans="1:10" x14ac:dyDescent="0.2">
      <c r="A105" s="33">
        <f>IF(Values_Entered,A104+1,"")</f>
        <v>88</v>
      </c>
      <c r="B105" s="32">
        <f t="shared" si="8"/>
        <v>43952</v>
      </c>
      <c r="C105" s="30">
        <f t="shared" si="14"/>
        <v>988606.42432982102</v>
      </c>
      <c r="D105" s="30">
        <f t="shared" si="9"/>
        <v>6354.694503075656</v>
      </c>
      <c r="E105" s="31">
        <f t="shared" si="10"/>
        <v>0</v>
      </c>
      <c r="F105" s="30">
        <f t="shared" si="11"/>
        <v>6354.694503075656</v>
      </c>
      <c r="G105" s="30">
        <f t="shared" si="12"/>
        <v>1823.5817248973099</v>
      </c>
      <c r="H105" s="30">
        <f t="shared" si="15"/>
        <v>4531.1127781783462</v>
      </c>
      <c r="I105" s="30">
        <f t="shared" si="13"/>
        <v>986782.84260492376</v>
      </c>
      <c r="J105" s="30">
        <f>SUM($H$18:$H105)</f>
        <v>426795.9588755818</v>
      </c>
    </row>
    <row r="106" spans="1:10" x14ac:dyDescent="0.2">
      <c r="A106" s="33">
        <f>IF(Values_Entered,A105+1,"")</f>
        <v>89</v>
      </c>
      <c r="B106" s="32">
        <f t="shared" si="8"/>
        <v>43982</v>
      </c>
      <c r="C106" s="30">
        <f t="shared" si="14"/>
        <v>986782.84260492376</v>
      </c>
      <c r="D106" s="30">
        <f t="shared" si="9"/>
        <v>6354.694503075656</v>
      </c>
      <c r="E106" s="31">
        <f t="shared" si="10"/>
        <v>0</v>
      </c>
      <c r="F106" s="30">
        <f t="shared" si="11"/>
        <v>6354.694503075656</v>
      </c>
      <c r="G106" s="30">
        <f t="shared" si="12"/>
        <v>1831.939807803089</v>
      </c>
      <c r="H106" s="30">
        <f t="shared" si="15"/>
        <v>4522.754695272567</v>
      </c>
      <c r="I106" s="30">
        <f t="shared" si="13"/>
        <v>984950.90279712062</v>
      </c>
      <c r="J106" s="30">
        <f>SUM($H$18:$H106)</f>
        <v>431318.71357085434</v>
      </c>
    </row>
    <row r="107" spans="1:10" x14ac:dyDescent="0.2">
      <c r="A107" s="33">
        <f>IF(Values_Entered,A106+1,"")</f>
        <v>90</v>
      </c>
      <c r="B107" s="32">
        <f t="shared" si="8"/>
        <v>44013</v>
      </c>
      <c r="C107" s="30">
        <f t="shared" si="14"/>
        <v>984950.90279712062</v>
      </c>
      <c r="D107" s="30">
        <f t="shared" si="9"/>
        <v>6354.694503075656</v>
      </c>
      <c r="E107" s="31">
        <f t="shared" si="10"/>
        <v>0</v>
      </c>
      <c r="F107" s="30">
        <f t="shared" si="11"/>
        <v>6354.694503075656</v>
      </c>
      <c r="G107" s="30">
        <f t="shared" si="12"/>
        <v>1840.3361985888532</v>
      </c>
      <c r="H107" s="30">
        <f t="shared" si="15"/>
        <v>4514.3583044868028</v>
      </c>
      <c r="I107" s="30">
        <f t="shared" si="13"/>
        <v>983110.56659853179</v>
      </c>
      <c r="J107" s="30">
        <f>SUM($H$18:$H107)</f>
        <v>435833.07187534112</v>
      </c>
    </row>
    <row r="108" spans="1:10" x14ac:dyDescent="0.2">
      <c r="A108" s="33">
        <f>IF(Values_Entered,A107+1,"")</f>
        <v>91</v>
      </c>
      <c r="B108" s="32">
        <f t="shared" si="8"/>
        <v>44043</v>
      </c>
      <c r="C108" s="30">
        <f t="shared" si="14"/>
        <v>983110.56659853179</v>
      </c>
      <c r="D108" s="30">
        <f t="shared" si="9"/>
        <v>6354.694503075656</v>
      </c>
      <c r="E108" s="31">
        <f t="shared" si="10"/>
        <v>0</v>
      </c>
      <c r="F108" s="30">
        <f t="shared" si="11"/>
        <v>6354.694503075656</v>
      </c>
      <c r="G108" s="30">
        <f t="shared" si="12"/>
        <v>1848.7710728323855</v>
      </c>
      <c r="H108" s="30">
        <f t="shared" si="15"/>
        <v>4505.9234302432706</v>
      </c>
      <c r="I108" s="30">
        <f t="shared" si="13"/>
        <v>981261.79552569939</v>
      </c>
      <c r="J108" s="30">
        <f>SUM($H$18:$H108)</f>
        <v>440338.99530558439</v>
      </c>
    </row>
    <row r="109" spans="1:10" x14ac:dyDescent="0.2">
      <c r="A109" s="33">
        <f>IF(Values_Entered,A108+1,"")</f>
        <v>92</v>
      </c>
      <c r="B109" s="32">
        <f t="shared" si="8"/>
        <v>44074</v>
      </c>
      <c r="C109" s="30">
        <f t="shared" si="14"/>
        <v>981261.79552569939</v>
      </c>
      <c r="D109" s="30">
        <f t="shared" si="9"/>
        <v>6354.694503075656</v>
      </c>
      <c r="E109" s="31">
        <f t="shared" si="10"/>
        <v>0</v>
      </c>
      <c r="F109" s="30">
        <f t="shared" si="11"/>
        <v>6354.694503075656</v>
      </c>
      <c r="G109" s="30">
        <f t="shared" si="12"/>
        <v>1857.2446069162006</v>
      </c>
      <c r="H109" s="30">
        <f t="shared" si="15"/>
        <v>4497.4498961594554</v>
      </c>
      <c r="I109" s="30">
        <f t="shared" si="13"/>
        <v>979404.55091878318</v>
      </c>
      <c r="J109" s="30">
        <f>SUM($H$18:$H109)</f>
        <v>444836.44520174386</v>
      </c>
    </row>
    <row r="110" spans="1:10" x14ac:dyDescent="0.2">
      <c r="A110" s="33">
        <f>IF(Values_Entered,A109+1,"")</f>
        <v>93</v>
      </c>
      <c r="B110" s="32">
        <f t="shared" si="8"/>
        <v>44105</v>
      </c>
      <c r="C110" s="30">
        <f t="shared" si="14"/>
        <v>979404.55091878318</v>
      </c>
      <c r="D110" s="30">
        <f t="shared" si="9"/>
        <v>6354.694503075656</v>
      </c>
      <c r="E110" s="31">
        <f t="shared" si="10"/>
        <v>0</v>
      </c>
      <c r="F110" s="30">
        <f t="shared" si="11"/>
        <v>6354.694503075656</v>
      </c>
      <c r="G110" s="30">
        <f t="shared" si="12"/>
        <v>1865.7569780312333</v>
      </c>
      <c r="H110" s="30">
        <f t="shared" si="15"/>
        <v>4488.9375250444227</v>
      </c>
      <c r="I110" s="30">
        <f t="shared" si="13"/>
        <v>977538.79394075193</v>
      </c>
      <c r="J110" s="30">
        <f>SUM($H$18:$H110)</f>
        <v>449325.38272678829</v>
      </c>
    </row>
    <row r="111" spans="1:10" x14ac:dyDescent="0.2">
      <c r="A111" s="33">
        <f>IF(Values_Entered,A110+1,"")</f>
        <v>94</v>
      </c>
      <c r="B111" s="32">
        <f t="shared" si="8"/>
        <v>44135</v>
      </c>
      <c r="C111" s="30">
        <f t="shared" si="14"/>
        <v>977538.79394075193</v>
      </c>
      <c r="D111" s="30">
        <f t="shared" si="9"/>
        <v>6354.694503075656</v>
      </c>
      <c r="E111" s="31">
        <f t="shared" si="10"/>
        <v>0</v>
      </c>
      <c r="F111" s="30">
        <f t="shared" si="11"/>
        <v>6354.694503075656</v>
      </c>
      <c r="G111" s="30">
        <f t="shared" si="12"/>
        <v>1874.3083641805433</v>
      </c>
      <c r="H111" s="30">
        <f t="shared" si="15"/>
        <v>4480.3861388951127</v>
      </c>
      <c r="I111" s="30">
        <f t="shared" si="13"/>
        <v>975664.48557657143</v>
      </c>
      <c r="J111" s="30">
        <f>SUM($H$18:$H111)</f>
        <v>453805.76886568341</v>
      </c>
    </row>
    <row r="112" spans="1:10" x14ac:dyDescent="0.2">
      <c r="A112" s="33">
        <f>IF(Values_Entered,A111+1,"")</f>
        <v>95</v>
      </c>
      <c r="B112" s="32">
        <f t="shared" si="8"/>
        <v>44166</v>
      </c>
      <c r="C112" s="30">
        <f t="shared" si="14"/>
        <v>975664.48557657143</v>
      </c>
      <c r="D112" s="30">
        <f t="shared" si="9"/>
        <v>6354.694503075656</v>
      </c>
      <c r="E112" s="31">
        <f t="shared" si="10"/>
        <v>0</v>
      </c>
      <c r="F112" s="30">
        <f t="shared" si="11"/>
        <v>6354.694503075656</v>
      </c>
      <c r="G112" s="30">
        <f t="shared" si="12"/>
        <v>1882.8989441830372</v>
      </c>
      <c r="H112" s="30">
        <f t="shared" si="15"/>
        <v>4471.7955588926188</v>
      </c>
      <c r="I112" s="30">
        <f t="shared" si="13"/>
        <v>973781.58663238841</v>
      </c>
      <c r="J112" s="30">
        <f>SUM($H$18:$H112)</f>
        <v>458277.564424576</v>
      </c>
    </row>
    <row r="113" spans="1:10" x14ac:dyDescent="0.2">
      <c r="A113" s="33">
        <f>IF(Values_Entered,A112+1,"")</f>
        <v>96</v>
      </c>
      <c r="B113" s="32">
        <f t="shared" si="8"/>
        <v>44196</v>
      </c>
      <c r="C113" s="30">
        <f t="shared" si="14"/>
        <v>973781.58663238841</v>
      </c>
      <c r="D113" s="30">
        <f t="shared" si="9"/>
        <v>6354.694503075656</v>
      </c>
      <c r="E113" s="31">
        <f t="shared" si="10"/>
        <v>0</v>
      </c>
      <c r="F113" s="30">
        <f t="shared" si="11"/>
        <v>6354.694503075656</v>
      </c>
      <c r="G113" s="30">
        <f t="shared" si="12"/>
        <v>1891.528897677209</v>
      </c>
      <c r="H113" s="30">
        <f t="shared" si="15"/>
        <v>4463.165605398447</v>
      </c>
      <c r="I113" s="30">
        <f t="shared" si="13"/>
        <v>971890.05773471121</v>
      </c>
      <c r="J113" s="30">
        <f>SUM($H$18:$H113)</f>
        <v>462740.73002997442</v>
      </c>
    </row>
    <row r="114" spans="1:10" x14ac:dyDescent="0.2">
      <c r="A114" s="33">
        <f>IF(Values_Entered,A113+1,"")</f>
        <v>97</v>
      </c>
      <c r="B114" s="32">
        <f t="shared" si="8"/>
        <v>44227</v>
      </c>
      <c r="C114" s="30">
        <f t="shared" si="14"/>
        <v>971890.05773471121</v>
      </c>
      <c r="D114" s="30">
        <f t="shared" si="9"/>
        <v>6354.694503075656</v>
      </c>
      <c r="E114" s="31">
        <f t="shared" si="10"/>
        <v>0</v>
      </c>
      <c r="F114" s="30">
        <f t="shared" si="11"/>
        <v>6354.694503075656</v>
      </c>
      <c r="G114" s="30">
        <f t="shared" si="12"/>
        <v>1900.1984051248965</v>
      </c>
      <c r="H114" s="30">
        <f t="shared" si="15"/>
        <v>4454.4960979507596</v>
      </c>
      <c r="I114" s="30">
        <f t="shared" si="13"/>
        <v>969989.85932958627</v>
      </c>
      <c r="J114" s="30">
        <f>SUM($H$18:$H114)</f>
        <v>467195.22612792521</v>
      </c>
    </row>
    <row r="115" spans="1:10" x14ac:dyDescent="0.2">
      <c r="A115" s="33">
        <f>IF(Values_Entered,A114+1,"")</f>
        <v>98</v>
      </c>
      <c r="B115" s="32">
        <f t="shared" si="8"/>
        <v>44258</v>
      </c>
      <c r="C115" s="30">
        <f t="shared" si="14"/>
        <v>969989.85932958627</v>
      </c>
      <c r="D115" s="30">
        <f t="shared" si="9"/>
        <v>6354.694503075656</v>
      </c>
      <c r="E115" s="31">
        <f t="shared" si="10"/>
        <v>0</v>
      </c>
      <c r="F115" s="30">
        <f t="shared" si="11"/>
        <v>6354.694503075656</v>
      </c>
      <c r="G115" s="30">
        <f t="shared" si="12"/>
        <v>1908.9076478150519</v>
      </c>
      <c r="H115" s="30">
        <f t="shared" si="15"/>
        <v>4445.7868552606042</v>
      </c>
      <c r="I115" s="30">
        <f t="shared" si="13"/>
        <v>968080.9516817712</v>
      </c>
      <c r="J115" s="30">
        <f>SUM($H$18:$H115)</f>
        <v>471641.01298318582</v>
      </c>
    </row>
    <row r="116" spans="1:10" x14ac:dyDescent="0.2">
      <c r="A116" s="33">
        <f>IF(Values_Entered,A115+1,"")</f>
        <v>99</v>
      </c>
      <c r="B116" s="32">
        <f t="shared" si="8"/>
        <v>44286</v>
      </c>
      <c r="C116" s="30">
        <f t="shared" si="14"/>
        <v>968080.9516817712</v>
      </c>
      <c r="D116" s="30">
        <f t="shared" si="9"/>
        <v>6354.694503075656</v>
      </c>
      <c r="E116" s="31">
        <f t="shared" si="10"/>
        <v>0</v>
      </c>
      <c r="F116" s="30">
        <f t="shared" si="11"/>
        <v>6354.694503075656</v>
      </c>
      <c r="G116" s="30">
        <f t="shared" si="12"/>
        <v>1917.6568078675382</v>
      </c>
      <c r="H116" s="30">
        <f t="shared" si="15"/>
        <v>4437.0376952081178</v>
      </c>
      <c r="I116" s="30">
        <f t="shared" si="13"/>
        <v>966163.29487390362</v>
      </c>
      <c r="J116" s="30">
        <f>SUM($H$18:$H116)</f>
        <v>476078.05067839392</v>
      </c>
    </row>
    <row r="117" spans="1:10" x14ac:dyDescent="0.2">
      <c r="A117" s="33">
        <f>IF(Values_Entered,A116+1,"")</f>
        <v>100</v>
      </c>
      <c r="B117" s="32">
        <f t="shared" si="8"/>
        <v>44317</v>
      </c>
      <c r="C117" s="30">
        <f t="shared" si="14"/>
        <v>966163.29487390362</v>
      </c>
      <c r="D117" s="30">
        <f t="shared" si="9"/>
        <v>6354.694503075656</v>
      </c>
      <c r="E117" s="31">
        <f t="shared" si="10"/>
        <v>0</v>
      </c>
      <c r="F117" s="30">
        <f t="shared" si="11"/>
        <v>6354.694503075656</v>
      </c>
      <c r="G117" s="30">
        <f t="shared" si="12"/>
        <v>1926.4460682369308</v>
      </c>
      <c r="H117" s="30">
        <f t="shared" si="15"/>
        <v>4428.2484348387252</v>
      </c>
      <c r="I117" s="30">
        <f t="shared" si="13"/>
        <v>964236.84880566667</v>
      </c>
      <c r="J117" s="30">
        <f>SUM($H$18:$H117)</f>
        <v>480506.29911323264</v>
      </c>
    </row>
    <row r="118" spans="1:10" x14ac:dyDescent="0.2">
      <c r="A118" s="33">
        <f>IF(Values_Entered,A117+1,"")</f>
        <v>101</v>
      </c>
      <c r="B118" s="32">
        <f t="shared" si="8"/>
        <v>44347</v>
      </c>
      <c r="C118" s="30">
        <f t="shared" si="14"/>
        <v>964236.84880566667</v>
      </c>
      <c r="D118" s="30">
        <f t="shared" si="9"/>
        <v>6354.694503075656</v>
      </c>
      <c r="E118" s="31">
        <f t="shared" si="10"/>
        <v>0</v>
      </c>
      <c r="F118" s="30">
        <f t="shared" si="11"/>
        <v>6354.694503075656</v>
      </c>
      <c r="G118" s="30">
        <f t="shared" si="12"/>
        <v>1935.2756127163502</v>
      </c>
      <c r="H118" s="30">
        <f t="shared" si="15"/>
        <v>4419.4188903593058</v>
      </c>
      <c r="I118" s="30">
        <f t="shared" si="13"/>
        <v>962301.57319295034</v>
      </c>
      <c r="J118" s="30">
        <f>SUM($H$18:$H118)</f>
        <v>484925.71800359193</v>
      </c>
    </row>
    <row r="119" spans="1:10" x14ac:dyDescent="0.2">
      <c r="A119" s="33">
        <f>IF(Values_Entered,A118+1,"")</f>
        <v>102</v>
      </c>
      <c r="B119" s="32">
        <f t="shared" si="8"/>
        <v>44378</v>
      </c>
      <c r="C119" s="30">
        <f t="shared" si="14"/>
        <v>962301.57319295034</v>
      </c>
      <c r="D119" s="30">
        <f t="shared" si="9"/>
        <v>6354.694503075656</v>
      </c>
      <c r="E119" s="31">
        <f t="shared" si="10"/>
        <v>0</v>
      </c>
      <c r="F119" s="30">
        <f t="shared" si="11"/>
        <v>6354.694503075656</v>
      </c>
      <c r="G119" s="30">
        <f t="shared" si="12"/>
        <v>1944.1456259412998</v>
      </c>
      <c r="H119" s="30">
        <f t="shared" si="15"/>
        <v>4410.5488771343562</v>
      </c>
      <c r="I119" s="30">
        <f t="shared" si="13"/>
        <v>960357.427567009</v>
      </c>
      <c r="J119" s="30">
        <f>SUM($H$18:$H119)</f>
        <v>489336.26688072627</v>
      </c>
    </row>
    <row r="120" spans="1:10" x14ac:dyDescent="0.2">
      <c r="A120" s="33">
        <f>IF(Values_Entered,A119+1,"")</f>
        <v>103</v>
      </c>
      <c r="B120" s="32">
        <f t="shared" si="8"/>
        <v>44408</v>
      </c>
      <c r="C120" s="30">
        <f t="shared" si="14"/>
        <v>960357.427567009</v>
      </c>
      <c r="D120" s="30">
        <f t="shared" si="9"/>
        <v>6354.694503075656</v>
      </c>
      <c r="E120" s="31">
        <f t="shared" si="10"/>
        <v>0</v>
      </c>
      <c r="F120" s="30">
        <f t="shared" si="11"/>
        <v>6354.694503075656</v>
      </c>
      <c r="G120" s="30">
        <f t="shared" si="12"/>
        <v>1953.0562933935316</v>
      </c>
      <c r="H120" s="30">
        <f t="shared" si="15"/>
        <v>4401.6382096821244</v>
      </c>
      <c r="I120" s="30">
        <f t="shared" si="13"/>
        <v>958404.37127361551</v>
      </c>
      <c r="J120" s="30">
        <f>SUM($H$18:$H120)</f>
        <v>493737.9050904084</v>
      </c>
    </row>
    <row r="121" spans="1:10" x14ac:dyDescent="0.2">
      <c r="A121" s="33">
        <f>IF(Values_Entered,A120+1,"")</f>
        <v>104</v>
      </c>
      <c r="B121" s="32">
        <f t="shared" si="8"/>
        <v>44439</v>
      </c>
      <c r="C121" s="30">
        <f t="shared" si="14"/>
        <v>958404.37127361551</v>
      </c>
      <c r="D121" s="30">
        <f t="shared" si="9"/>
        <v>6354.694503075656</v>
      </c>
      <c r="E121" s="31">
        <f t="shared" si="10"/>
        <v>0</v>
      </c>
      <c r="F121" s="30">
        <f t="shared" si="11"/>
        <v>6354.694503075656</v>
      </c>
      <c r="G121" s="30">
        <f t="shared" si="12"/>
        <v>1962.0078014049186</v>
      </c>
      <c r="H121" s="30">
        <f t="shared" si="15"/>
        <v>4392.6867016707374</v>
      </c>
      <c r="I121" s="30">
        <f t="shared" si="13"/>
        <v>956442.36347221059</v>
      </c>
      <c r="J121" s="30">
        <f>SUM($H$18:$H121)</f>
        <v>498130.59179207915</v>
      </c>
    </row>
    <row r="122" spans="1:10" x14ac:dyDescent="0.2">
      <c r="A122" s="33">
        <f>IF(Values_Entered,A121+1,"")</f>
        <v>105</v>
      </c>
      <c r="B122" s="32">
        <f t="shared" si="8"/>
        <v>44470</v>
      </c>
      <c r="C122" s="30">
        <f t="shared" si="14"/>
        <v>956442.36347221059</v>
      </c>
      <c r="D122" s="30">
        <f t="shared" si="9"/>
        <v>6354.694503075656</v>
      </c>
      <c r="E122" s="31">
        <f t="shared" si="10"/>
        <v>0</v>
      </c>
      <c r="F122" s="30">
        <f t="shared" si="11"/>
        <v>6354.694503075656</v>
      </c>
      <c r="G122" s="30">
        <f t="shared" si="12"/>
        <v>1971.0003371613575</v>
      </c>
      <c r="H122" s="30">
        <f t="shared" si="15"/>
        <v>4383.6941659142985</v>
      </c>
      <c r="I122" s="30">
        <f t="shared" si="13"/>
        <v>954471.36313504924</v>
      </c>
      <c r="J122" s="30">
        <f>SUM($H$18:$H122)</f>
        <v>502514.28595799347</v>
      </c>
    </row>
    <row r="123" spans="1:10" x14ac:dyDescent="0.2">
      <c r="A123" s="33">
        <f>IF(Values_Entered,A122+1,"")</f>
        <v>106</v>
      </c>
      <c r="B123" s="32">
        <f t="shared" si="8"/>
        <v>44500</v>
      </c>
      <c r="C123" s="30">
        <f t="shared" si="14"/>
        <v>954471.36313504924</v>
      </c>
      <c r="D123" s="30">
        <f t="shared" si="9"/>
        <v>6354.694503075656</v>
      </c>
      <c r="E123" s="31">
        <f t="shared" si="10"/>
        <v>0</v>
      </c>
      <c r="F123" s="30">
        <f t="shared" si="11"/>
        <v>6354.694503075656</v>
      </c>
      <c r="G123" s="30">
        <f t="shared" si="12"/>
        <v>1980.0340887066804</v>
      </c>
      <c r="H123" s="30">
        <f t="shared" si="15"/>
        <v>4374.6604143689756</v>
      </c>
      <c r="I123" s="30">
        <f t="shared" si="13"/>
        <v>952491.32904634252</v>
      </c>
      <c r="J123" s="30">
        <f>SUM($H$18:$H123)</f>
        <v>506888.94637236244</v>
      </c>
    </row>
    <row r="124" spans="1:10" x14ac:dyDescent="0.2">
      <c r="A124" s="33">
        <f>IF(Values_Entered,A123+1,"")</f>
        <v>107</v>
      </c>
      <c r="B124" s="32">
        <f t="shared" si="8"/>
        <v>44531</v>
      </c>
      <c r="C124" s="30">
        <f t="shared" si="14"/>
        <v>952491.32904634252</v>
      </c>
      <c r="D124" s="30">
        <f t="shared" si="9"/>
        <v>6354.694503075656</v>
      </c>
      <c r="E124" s="31">
        <f t="shared" si="10"/>
        <v>0</v>
      </c>
      <c r="F124" s="30">
        <f t="shared" si="11"/>
        <v>6354.694503075656</v>
      </c>
      <c r="G124" s="30">
        <f t="shared" si="12"/>
        <v>1989.1092449465859</v>
      </c>
      <c r="H124" s="30">
        <f t="shared" si="15"/>
        <v>4365.5852581290701</v>
      </c>
      <c r="I124" s="30">
        <f t="shared" si="13"/>
        <v>950502.2198013959</v>
      </c>
      <c r="J124" s="30">
        <f>SUM($H$18:$H124)</f>
        <v>511254.53163049149</v>
      </c>
    </row>
    <row r="125" spans="1:10" x14ac:dyDescent="0.2">
      <c r="A125" s="33">
        <f>IF(Values_Entered,A124+1,"")</f>
        <v>108</v>
      </c>
      <c r="B125" s="32">
        <f t="shared" si="8"/>
        <v>44561</v>
      </c>
      <c r="C125" s="30">
        <f t="shared" si="14"/>
        <v>950502.2198013959</v>
      </c>
      <c r="D125" s="30">
        <f t="shared" si="9"/>
        <v>6354.694503075656</v>
      </c>
      <c r="E125" s="31">
        <f t="shared" si="10"/>
        <v>0</v>
      </c>
      <c r="F125" s="30">
        <f t="shared" si="11"/>
        <v>6354.694503075656</v>
      </c>
      <c r="G125" s="30">
        <f t="shared" si="12"/>
        <v>1998.2259956525913</v>
      </c>
      <c r="H125" s="30">
        <f t="shared" si="15"/>
        <v>4356.4685074230647</v>
      </c>
      <c r="I125" s="30">
        <f t="shared" si="13"/>
        <v>948503.99380574329</v>
      </c>
      <c r="J125" s="30">
        <f>SUM($H$18:$H125)</f>
        <v>515611.00013791455</v>
      </c>
    </row>
    <row r="126" spans="1:10" x14ac:dyDescent="0.2">
      <c r="A126" s="33">
        <f>IF(Values_Entered,A125+1,"")</f>
        <v>109</v>
      </c>
      <c r="B126" s="32">
        <f t="shared" si="8"/>
        <v>44592</v>
      </c>
      <c r="C126" s="30">
        <f t="shared" si="14"/>
        <v>948503.99380574329</v>
      </c>
      <c r="D126" s="30">
        <f t="shared" si="9"/>
        <v>6354.694503075656</v>
      </c>
      <c r="E126" s="31">
        <f t="shared" si="10"/>
        <v>0</v>
      </c>
      <c r="F126" s="30">
        <f t="shared" si="11"/>
        <v>6354.694503075656</v>
      </c>
      <c r="G126" s="30">
        <f t="shared" si="12"/>
        <v>2007.3845314659993</v>
      </c>
      <c r="H126" s="30">
        <f t="shared" si="15"/>
        <v>4347.3099716096567</v>
      </c>
      <c r="I126" s="30">
        <f t="shared" si="13"/>
        <v>946496.60927427723</v>
      </c>
      <c r="J126" s="30">
        <f>SUM($H$18:$H126)</f>
        <v>519958.31010952423</v>
      </c>
    </row>
    <row r="127" spans="1:10" x14ac:dyDescent="0.2">
      <c r="A127" s="33">
        <f>IF(Values_Entered,A126+1,"")</f>
        <v>110</v>
      </c>
      <c r="B127" s="32">
        <f t="shared" si="8"/>
        <v>44623</v>
      </c>
      <c r="C127" s="30">
        <f t="shared" si="14"/>
        <v>946496.60927427723</v>
      </c>
      <c r="D127" s="30">
        <f t="shared" si="9"/>
        <v>6354.694503075656</v>
      </c>
      <c r="E127" s="31">
        <f t="shared" si="10"/>
        <v>0</v>
      </c>
      <c r="F127" s="30">
        <f t="shared" si="11"/>
        <v>6354.694503075656</v>
      </c>
      <c r="G127" s="30">
        <f t="shared" si="12"/>
        <v>2016.5850439018859</v>
      </c>
      <c r="H127" s="30">
        <f t="shared" si="15"/>
        <v>4338.1094591737701</v>
      </c>
      <c r="I127" s="30">
        <f t="shared" si="13"/>
        <v>944480.0242303753</v>
      </c>
      <c r="J127" s="30">
        <f>SUM($H$18:$H127)</f>
        <v>524296.41956869804</v>
      </c>
    </row>
    <row r="128" spans="1:10" x14ac:dyDescent="0.2">
      <c r="A128" s="33">
        <f>IF(Values_Entered,A127+1,"")</f>
        <v>111</v>
      </c>
      <c r="B128" s="32">
        <f t="shared" si="8"/>
        <v>44651</v>
      </c>
      <c r="C128" s="30">
        <f t="shared" si="14"/>
        <v>944480.0242303753</v>
      </c>
      <c r="D128" s="30">
        <f t="shared" si="9"/>
        <v>6354.694503075656</v>
      </c>
      <c r="E128" s="31">
        <f t="shared" si="10"/>
        <v>0</v>
      </c>
      <c r="F128" s="30">
        <f t="shared" si="11"/>
        <v>6354.694503075656</v>
      </c>
      <c r="G128" s="30">
        <f t="shared" si="12"/>
        <v>2025.8277253531023</v>
      </c>
      <c r="H128" s="30">
        <f t="shared" si="15"/>
        <v>4328.8667777225537</v>
      </c>
      <c r="I128" s="30">
        <f t="shared" si="13"/>
        <v>942454.19650502224</v>
      </c>
      <c r="J128" s="30">
        <f>SUM($H$18:$H128)</f>
        <v>528625.28634642065</v>
      </c>
    </row>
    <row r="129" spans="1:10" x14ac:dyDescent="0.2">
      <c r="A129" s="33">
        <f>IF(Values_Entered,A128+1,"")</f>
        <v>112</v>
      </c>
      <c r="B129" s="32">
        <f t="shared" si="8"/>
        <v>44682</v>
      </c>
      <c r="C129" s="30">
        <f t="shared" si="14"/>
        <v>942454.19650502224</v>
      </c>
      <c r="D129" s="30">
        <f t="shared" si="9"/>
        <v>6354.694503075656</v>
      </c>
      <c r="E129" s="31">
        <f t="shared" si="10"/>
        <v>0</v>
      </c>
      <c r="F129" s="30">
        <f t="shared" si="11"/>
        <v>6354.694503075656</v>
      </c>
      <c r="G129" s="30">
        <f t="shared" si="12"/>
        <v>2035.112769094304</v>
      </c>
      <c r="H129" s="30">
        <f t="shared" si="15"/>
        <v>4319.581733981352</v>
      </c>
      <c r="I129" s="30">
        <f t="shared" si="13"/>
        <v>940419.08373592794</v>
      </c>
      <c r="J129" s="30">
        <f>SUM($H$18:$H129)</f>
        <v>532944.86808040203</v>
      </c>
    </row>
    <row r="130" spans="1:10" x14ac:dyDescent="0.2">
      <c r="A130" s="33">
        <f>IF(Values_Entered,A129+1,"")</f>
        <v>113</v>
      </c>
      <c r="B130" s="32">
        <f t="shared" si="8"/>
        <v>44712</v>
      </c>
      <c r="C130" s="30">
        <f t="shared" si="14"/>
        <v>940419.08373592794</v>
      </c>
      <c r="D130" s="30">
        <f t="shared" si="9"/>
        <v>6354.694503075656</v>
      </c>
      <c r="E130" s="31">
        <f t="shared" si="10"/>
        <v>0</v>
      </c>
      <c r="F130" s="30">
        <f t="shared" si="11"/>
        <v>6354.694503075656</v>
      </c>
      <c r="G130" s="30">
        <f t="shared" si="12"/>
        <v>2044.440369285986</v>
      </c>
      <c r="H130" s="30">
        <f t="shared" si="15"/>
        <v>4310.25413378967</v>
      </c>
      <c r="I130" s="30">
        <f t="shared" si="13"/>
        <v>938374.64336664195</v>
      </c>
      <c r="J130" s="30">
        <f>SUM($H$18:$H130)</f>
        <v>537255.12221419171</v>
      </c>
    </row>
    <row r="131" spans="1:10" x14ac:dyDescent="0.2">
      <c r="A131" s="33">
        <f>IF(Values_Entered,A130+1,"")</f>
        <v>114</v>
      </c>
      <c r="B131" s="32">
        <f t="shared" si="8"/>
        <v>44743</v>
      </c>
      <c r="C131" s="30">
        <f t="shared" si="14"/>
        <v>938374.64336664195</v>
      </c>
      <c r="D131" s="30">
        <f t="shared" si="9"/>
        <v>6354.694503075656</v>
      </c>
      <c r="E131" s="31">
        <f t="shared" si="10"/>
        <v>0</v>
      </c>
      <c r="F131" s="30">
        <f t="shared" si="11"/>
        <v>6354.694503075656</v>
      </c>
      <c r="G131" s="30">
        <f t="shared" si="12"/>
        <v>2053.8107209785476</v>
      </c>
      <c r="H131" s="30">
        <f t="shared" si="15"/>
        <v>4300.8837820971085</v>
      </c>
      <c r="I131" s="30">
        <f t="shared" si="13"/>
        <v>936320.83264566341</v>
      </c>
      <c r="J131" s="30">
        <f>SUM($H$18:$H131)</f>
        <v>541556.00599628885</v>
      </c>
    </row>
    <row r="132" spans="1:10" x14ac:dyDescent="0.2">
      <c r="A132" s="33">
        <f>IF(Values_Entered,A131+1,"")</f>
        <v>115</v>
      </c>
      <c r="B132" s="32">
        <f t="shared" si="8"/>
        <v>44773</v>
      </c>
      <c r="C132" s="30">
        <f t="shared" si="14"/>
        <v>936320.83264566341</v>
      </c>
      <c r="D132" s="30">
        <f t="shared" si="9"/>
        <v>6354.694503075656</v>
      </c>
      <c r="E132" s="31">
        <f t="shared" si="10"/>
        <v>0</v>
      </c>
      <c r="F132" s="30">
        <f t="shared" si="11"/>
        <v>6354.694503075656</v>
      </c>
      <c r="G132" s="30">
        <f t="shared" si="12"/>
        <v>2063.224020116365</v>
      </c>
      <c r="H132" s="30">
        <f t="shared" si="15"/>
        <v>4291.4704829592911</v>
      </c>
      <c r="I132" s="30">
        <f t="shared" si="13"/>
        <v>934257.60862554703</v>
      </c>
      <c r="J132" s="30">
        <f>SUM($H$18:$H132)</f>
        <v>545847.47647924814</v>
      </c>
    </row>
    <row r="133" spans="1:10" x14ac:dyDescent="0.2">
      <c r="A133" s="33">
        <f>IF(Values_Entered,A132+1,"")</f>
        <v>116</v>
      </c>
      <c r="B133" s="32">
        <f t="shared" si="8"/>
        <v>44804</v>
      </c>
      <c r="C133" s="30">
        <f t="shared" si="14"/>
        <v>934257.60862554703</v>
      </c>
      <c r="D133" s="30">
        <f t="shared" si="9"/>
        <v>6354.694503075656</v>
      </c>
      <c r="E133" s="31">
        <f t="shared" si="10"/>
        <v>0</v>
      </c>
      <c r="F133" s="30">
        <f t="shared" si="11"/>
        <v>6354.694503075656</v>
      </c>
      <c r="G133" s="30">
        <f t="shared" si="12"/>
        <v>2072.6804635418985</v>
      </c>
      <c r="H133" s="30">
        <f t="shared" si="15"/>
        <v>4282.0140395337576</v>
      </c>
      <c r="I133" s="30">
        <f t="shared" si="13"/>
        <v>932184.92816200515</v>
      </c>
      <c r="J133" s="30">
        <f>SUM($H$18:$H133)</f>
        <v>550129.49051878194</v>
      </c>
    </row>
    <row r="134" spans="1:10" x14ac:dyDescent="0.2">
      <c r="A134" s="33">
        <f>IF(Values_Entered,A133+1,"")</f>
        <v>117</v>
      </c>
      <c r="B134" s="32">
        <f t="shared" si="8"/>
        <v>44835</v>
      </c>
      <c r="C134" s="30">
        <f t="shared" si="14"/>
        <v>932184.92816200515</v>
      </c>
      <c r="D134" s="30">
        <f t="shared" si="9"/>
        <v>6354.694503075656</v>
      </c>
      <c r="E134" s="31">
        <f t="shared" si="10"/>
        <v>0</v>
      </c>
      <c r="F134" s="30">
        <f t="shared" si="11"/>
        <v>6354.694503075656</v>
      </c>
      <c r="G134" s="30">
        <f t="shared" si="12"/>
        <v>2082.180248999799</v>
      </c>
      <c r="H134" s="30">
        <f t="shared" si="15"/>
        <v>4272.514254075857</v>
      </c>
      <c r="I134" s="30">
        <f t="shared" si="13"/>
        <v>930102.7479130053</v>
      </c>
      <c r="J134" s="30">
        <f>SUM($H$18:$H134)</f>
        <v>554402.00477285776</v>
      </c>
    </row>
    <row r="135" spans="1:10" x14ac:dyDescent="0.2">
      <c r="A135" s="33">
        <f>IF(Values_Entered,A134+1,"")</f>
        <v>118</v>
      </c>
      <c r="B135" s="32">
        <f t="shared" si="8"/>
        <v>44865</v>
      </c>
      <c r="C135" s="30">
        <f t="shared" si="14"/>
        <v>930102.7479130053</v>
      </c>
      <c r="D135" s="30">
        <f t="shared" si="9"/>
        <v>6354.694503075656</v>
      </c>
      <c r="E135" s="31">
        <f t="shared" si="10"/>
        <v>0</v>
      </c>
      <c r="F135" s="30">
        <f t="shared" si="11"/>
        <v>6354.694503075656</v>
      </c>
      <c r="G135" s="30">
        <f t="shared" si="12"/>
        <v>2091.723575141049</v>
      </c>
      <c r="H135" s="30">
        <f t="shared" si="15"/>
        <v>4262.9709279346071</v>
      </c>
      <c r="I135" s="30">
        <f t="shared" si="13"/>
        <v>928011.02433786425</v>
      </c>
      <c r="J135" s="30">
        <f>SUM($H$18:$H135)</f>
        <v>558664.97570079239</v>
      </c>
    </row>
    <row r="136" spans="1:10" x14ac:dyDescent="0.2">
      <c r="A136" s="33">
        <f>IF(Values_Entered,A135+1,"")</f>
        <v>119</v>
      </c>
      <c r="B136" s="32">
        <f t="shared" si="8"/>
        <v>44896</v>
      </c>
      <c r="C136" s="30">
        <f t="shared" si="14"/>
        <v>928011.02433786425</v>
      </c>
      <c r="D136" s="30">
        <f t="shared" si="9"/>
        <v>6354.694503075656</v>
      </c>
      <c r="E136" s="31">
        <f t="shared" si="10"/>
        <v>0</v>
      </c>
      <c r="F136" s="30">
        <f t="shared" si="11"/>
        <v>6354.694503075656</v>
      </c>
      <c r="G136" s="30">
        <f t="shared" si="12"/>
        <v>2101.3106415271113</v>
      </c>
      <c r="H136" s="30">
        <f t="shared" si="15"/>
        <v>4253.3838615485447</v>
      </c>
      <c r="I136" s="30">
        <f t="shared" si="13"/>
        <v>925909.71369633719</v>
      </c>
      <c r="J136" s="30">
        <f>SUM($H$18:$H136)</f>
        <v>562918.35956234089</v>
      </c>
    </row>
    <row r="137" spans="1:10" x14ac:dyDescent="0.2">
      <c r="A137" s="33">
        <f>IF(Values_Entered,A136+1,"")</f>
        <v>120</v>
      </c>
      <c r="B137" s="32">
        <f t="shared" si="8"/>
        <v>44926</v>
      </c>
      <c r="C137" s="30">
        <f t="shared" si="14"/>
        <v>925909.71369633719</v>
      </c>
      <c r="D137" s="30">
        <f t="shared" si="9"/>
        <v>6354.694503075656</v>
      </c>
      <c r="E137" s="31">
        <f t="shared" si="10"/>
        <v>0</v>
      </c>
      <c r="F137" s="30">
        <f t="shared" si="11"/>
        <v>6354.694503075656</v>
      </c>
      <c r="G137" s="30">
        <f t="shared" si="12"/>
        <v>2110.9416486341106</v>
      </c>
      <c r="H137" s="30">
        <f t="shared" si="15"/>
        <v>4243.7528544415454</v>
      </c>
      <c r="I137" s="30">
        <f t="shared" si="13"/>
        <v>923798.77204770304</v>
      </c>
      <c r="J137" s="30">
        <f>SUM($H$18:$H137)</f>
        <v>567162.11241678242</v>
      </c>
    </row>
    <row r="138" spans="1:10" x14ac:dyDescent="0.2">
      <c r="A138" s="33">
        <f>IF(Values_Entered,A137+1,"")</f>
        <v>121</v>
      </c>
      <c r="B138" s="32">
        <f t="shared" si="8"/>
        <v>44957</v>
      </c>
      <c r="C138" s="30">
        <f t="shared" si="14"/>
        <v>923798.77204770304</v>
      </c>
      <c r="D138" s="30">
        <f t="shared" si="9"/>
        <v>6354.694503075656</v>
      </c>
      <c r="E138" s="31">
        <f t="shared" si="10"/>
        <v>0</v>
      </c>
      <c r="F138" s="30">
        <f t="shared" si="11"/>
        <v>6354.694503075656</v>
      </c>
      <c r="G138" s="30">
        <f t="shared" si="12"/>
        <v>2120.6167978570165</v>
      </c>
      <c r="H138" s="30">
        <f t="shared" si="15"/>
        <v>4234.0777052186395</v>
      </c>
      <c r="I138" s="30">
        <f t="shared" si="13"/>
        <v>921678.15524984605</v>
      </c>
      <c r="J138" s="30">
        <f>SUM($H$18:$H138)</f>
        <v>571396.19012200111</v>
      </c>
    </row>
    <row r="139" spans="1:10" x14ac:dyDescent="0.2">
      <c r="A139" s="33">
        <f>IF(Values_Entered,A138+1,"")</f>
        <v>122</v>
      </c>
      <c r="B139" s="32">
        <f t="shared" si="8"/>
        <v>44988</v>
      </c>
      <c r="C139" s="30">
        <f t="shared" si="14"/>
        <v>921678.15524984605</v>
      </c>
      <c r="D139" s="30">
        <f t="shared" si="9"/>
        <v>6354.694503075656</v>
      </c>
      <c r="E139" s="31">
        <f t="shared" si="10"/>
        <v>0</v>
      </c>
      <c r="F139" s="30">
        <f t="shared" si="11"/>
        <v>6354.694503075656</v>
      </c>
      <c r="G139" s="30">
        <f t="shared" si="12"/>
        <v>2130.3362915138614</v>
      </c>
      <c r="H139" s="30">
        <f t="shared" si="15"/>
        <v>4224.3582115617946</v>
      </c>
      <c r="I139" s="30">
        <f t="shared" si="13"/>
        <v>919547.81895833218</v>
      </c>
      <c r="J139" s="30">
        <f>SUM($H$18:$H139)</f>
        <v>575620.54833356291</v>
      </c>
    </row>
    <row r="140" spans="1:10" x14ac:dyDescent="0.2">
      <c r="A140" s="33">
        <f>IF(Values_Entered,A139+1,"")</f>
        <v>123</v>
      </c>
      <c r="B140" s="32">
        <f t="shared" si="8"/>
        <v>45016</v>
      </c>
      <c r="C140" s="30">
        <f t="shared" si="14"/>
        <v>919547.81895833218</v>
      </c>
      <c r="D140" s="30">
        <f t="shared" si="9"/>
        <v>6354.694503075656</v>
      </c>
      <c r="E140" s="31">
        <f t="shared" si="10"/>
        <v>0</v>
      </c>
      <c r="F140" s="30">
        <f t="shared" si="11"/>
        <v>6354.694503075656</v>
      </c>
      <c r="G140" s="30">
        <f t="shared" si="12"/>
        <v>2140.1003328499673</v>
      </c>
      <c r="H140" s="30">
        <f t="shared" si="15"/>
        <v>4214.5941702256887</v>
      </c>
      <c r="I140" s="30">
        <f t="shared" si="13"/>
        <v>917407.71862548217</v>
      </c>
      <c r="J140" s="30">
        <f>SUM($H$18:$H140)</f>
        <v>579835.14250378858</v>
      </c>
    </row>
    <row r="141" spans="1:10" x14ac:dyDescent="0.2">
      <c r="A141" s="33">
        <f>IF(Values_Entered,A140+1,"")</f>
        <v>124</v>
      </c>
      <c r="B141" s="32">
        <f t="shared" si="8"/>
        <v>45047</v>
      </c>
      <c r="C141" s="30">
        <f t="shared" si="14"/>
        <v>917407.71862548217</v>
      </c>
      <c r="D141" s="30">
        <f t="shared" si="9"/>
        <v>6354.694503075656</v>
      </c>
      <c r="E141" s="31">
        <f t="shared" si="10"/>
        <v>0</v>
      </c>
      <c r="F141" s="30">
        <f t="shared" si="11"/>
        <v>6354.694503075656</v>
      </c>
      <c r="G141" s="30">
        <f t="shared" si="12"/>
        <v>2149.9091260421965</v>
      </c>
      <c r="H141" s="30">
        <f t="shared" si="15"/>
        <v>4204.7853770334596</v>
      </c>
      <c r="I141" s="30">
        <f t="shared" si="13"/>
        <v>915257.80949944002</v>
      </c>
      <c r="J141" s="30">
        <f>SUM($H$18:$H141)</f>
        <v>584039.92788082198</v>
      </c>
    </row>
    <row r="142" spans="1:10" x14ac:dyDescent="0.2">
      <c r="A142" s="33">
        <f>IF(Values_Entered,A141+1,"")</f>
        <v>125</v>
      </c>
      <c r="B142" s="32">
        <f t="shared" si="8"/>
        <v>45077</v>
      </c>
      <c r="C142" s="30">
        <f t="shared" si="14"/>
        <v>915257.80949944002</v>
      </c>
      <c r="D142" s="30">
        <f t="shared" si="9"/>
        <v>6354.694503075656</v>
      </c>
      <c r="E142" s="31">
        <f t="shared" si="10"/>
        <v>0</v>
      </c>
      <c r="F142" s="30">
        <f t="shared" si="11"/>
        <v>6354.694503075656</v>
      </c>
      <c r="G142" s="30">
        <f t="shared" si="12"/>
        <v>2159.7628762032227</v>
      </c>
      <c r="H142" s="30">
        <f t="shared" si="15"/>
        <v>4194.9316268724333</v>
      </c>
      <c r="I142" s="30">
        <f t="shared" si="13"/>
        <v>913098.04662323685</v>
      </c>
      <c r="J142" s="30">
        <f>SUM($H$18:$H142)</f>
        <v>588234.85950769437</v>
      </c>
    </row>
    <row r="143" spans="1:10" x14ac:dyDescent="0.2">
      <c r="A143" s="33">
        <f>IF(Values_Entered,A142+1,"")</f>
        <v>126</v>
      </c>
      <c r="B143" s="32">
        <f t="shared" si="8"/>
        <v>45108</v>
      </c>
      <c r="C143" s="30">
        <f t="shared" si="14"/>
        <v>913098.04662323685</v>
      </c>
      <c r="D143" s="30">
        <f t="shared" si="9"/>
        <v>6354.694503075656</v>
      </c>
      <c r="E143" s="31">
        <f t="shared" si="10"/>
        <v>0</v>
      </c>
      <c r="F143" s="30">
        <f t="shared" si="11"/>
        <v>6354.694503075656</v>
      </c>
      <c r="G143" s="30">
        <f t="shared" si="12"/>
        <v>2169.6617893858202</v>
      </c>
      <c r="H143" s="30">
        <f t="shared" si="15"/>
        <v>4185.0327136898359</v>
      </c>
      <c r="I143" s="30">
        <f t="shared" si="13"/>
        <v>910928.38483385101</v>
      </c>
      <c r="J143" s="30">
        <f>SUM($H$18:$H143)</f>
        <v>592419.89222138422</v>
      </c>
    </row>
    <row r="144" spans="1:10" x14ac:dyDescent="0.2">
      <c r="A144" s="33">
        <f>IF(Values_Entered,A143+1,"")</f>
        <v>127</v>
      </c>
      <c r="B144" s="32">
        <f t="shared" si="8"/>
        <v>45138</v>
      </c>
      <c r="C144" s="30">
        <f t="shared" si="14"/>
        <v>910928.38483385101</v>
      </c>
      <c r="D144" s="30">
        <f t="shared" si="9"/>
        <v>6354.694503075656</v>
      </c>
      <c r="E144" s="31">
        <f t="shared" si="10"/>
        <v>0</v>
      </c>
      <c r="F144" s="30">
        <f t="shared" si="11"/>
        <v>6354.694503075656</v>
      </c>
      <c r="G144" s="30">
        <f t="shared" si="12"/>
        <v>2179.6060725871721</v>
      </c>
      <c r="H144" s="30">
        <f t="shared" si="15"/>
        <v>4175.0884304884839</v>
      </c>
      <c r="I144" s="30">
        <f t="shared" si="13"/>
        <v>908748.77876126382</v>
      </c>
      <c r="J144" s="30">
        <f>SUM($H$18:$H144)</f>
        <v>596594.9806518727</v>
      </c>
    </row>
    <row r="145" spans="1:10" x14ac:dyDescent="0.2">
      <c r="A145" s="33">
        <f>IF(Values_Entered,A144+1,"")</f>
        <v>128</v>
      </c>
      <c r="B145" s="32">
        <f t="shared" si="8"/>
        <v>45169</v>
      </c>
      <c r="C145" s="30">
        <f t="shared" si="14"/>
        <v>908748.77876126382</v>
      </c>
      <c r="D145" s="30">
        <f t="shared" si="9"/>
        <v>6354.694503075656</v>
      </c>
      <c r="E145" s="31">
        <f t="shared" si="10"/>
        <v>0</v>
      </c>
      <c r="F145" s="30">
        <f t="shared" si="11"/>
        <v>6354.694503075656</v>
      </c>
      <c r="G145" s="30">
        <f t="shared" si="12"/>
        <v>2189.5959337531967</v>
      </c>
      <c r="H145" s="30">
        <f t="shared" si="15"/>
        <v>4165.0985693224593</v>
      </c>
      <c r="I145" s="30">
        <f t="shared" si="13"/>
        <v>906559.18282751064</v>
      </c>
      <c r="J145" s="30">
        <f>SUM($H$18:$H145)</f>
        <v>600760.07922119519</v>
      </c>
    </row>
    <row r="146" spans="1:10" x14ac:dyDescent="0.2">
      <c r="A146" s="33">
        <f>IF(Values_Entered,A145+1,"")</f>
        <v>129</v>
      </c>
      <c r="B146" s="32">
        <f t="shared" ref="B146:B209" si="16">IF(Pay_Num&lt;&gt;"",DATE(YEAR(Loan_Start),MONTH(Loan_Start)+(Pay_Num)*12/Num_Pmt_Per_Year,DAY(Loan_Start)),"")</f>
        <v>45200</v>
      </c>
      <c r="C146" s="30">
        <f t="shared" si="14"/>
        <v>906559.18282751064</v>
      </c>
      <c r="D146" s="30">
        <f t="shared" ref="D146:D209" si="17">IF(Pay_Num&lt;&gt;"",Scheduled_Monthly_Payment,"")</f>
        <v>6354.694503075656</v>
      </c>
      <c r="E146" s="31">
        <f t="shared" ref="E146:E209" si="18">IF(AND(Pay_Num&lt;&gt;"",Sched_Pay+Scheduled_Extra_Payments&lt;Beg_Bal),Scheduled_Extra_Payments,IF(AND(Pay_Num&lt;&gt;"",Beg_Bal-Sched_Pay&gt;0),Beg_Bal-Sched_Pay,IF(Pay_Num&lt;&gt;"",0,"")))</f>
        <v>0</v>
      </c>
      <c r="F146" s="30">
        <f t="shared" ref="F146:F209" si="19">IF(AND(Pay_Num&lt;&gt;"",Sched_Pay+Extra_Pay&lt;Beg_Bal),Sched_Pay+Extra_Pay,IF(Pay_Num&lt;&gt;"",Beg_Bal,""))</f>
        <v>6354.694503075656</v>
      </c>
      <c r="G146" s="30">
        <f t="shared" ref="G146:G209" si="20">IF(Pay_Num&lt;&gt;"",Total_Pay-Int,"")</f>
        <v>2199.631581782899</v>
      </c>
      <c r="H146" s="30">
        <f t="shared" si="15"/>
        <v>4155.062921292757</v>
      </c>
      <c r="I146" s="30">
        <f t="shared" ref="I146:I209" si="21">IF(AND(Pay_Num&lt;&gt;"",Sched_Pay+Extra_Pay&lt;Beg_Bal),Beg_Bal-Princ,IF(Pay_Num&lt;&gt;"",0,""))</f>
        <v>904359.55124572769</v>
      </c>
      <c r="J146" s="30">
        <f>SUM($H$18:$H146)</f>
        <v>604915.14214248792</v>
      </c>
    </row>
    <row r="147" spans="1:10" x14ac:dyDescent="0.2">
      <c r="A147" s="33">
        <f>IF(Values_Entered,A146+1,"")</f>
        <v>130</v>
      </c>
      <c r="B147" s="32">
        <f t="shared" si="16"/>
        <v>45230</v>
      </c>
      <c r="C147" s="30">
        <f t="shared" ref="C147:C210" si="22">IF(Pay_Num&lt;&gt;"",I146,"")</f>
        <v>904359.55124572769</v>
      </c>
      <c r="D147" s="30">
        <f t="shared" si="17"/>
        <v>6354.694503075656</v>
      </c>
      <c r="E147" s="31">
        <f t="shared" si="18"/>
        <v>0</v>
      </c>
      <c r="F147" s="30">
        <f t="shared" si="19"/>
        <v>6354.694503075656</v>
      </c>
      <c r="G147" s="30">
        <f t="shared" si="20"/>
        <v>2209.7132265327373</v>
      </c>
      <c r="H147" s="30">
        <f t="shared" ref="H147:H210" si="23">IF(Pay_Num&lt;&gt;"",Beg_Bal*Interest_Rate/Num_Pmt_Per_Year,"")</f>
        <v>4144.9812765429187</v>
      </c>
      <c r="I147" s="30">
        <f t="shared" si="21"/>
        <v>902149.83801919501</v>
      </c>
      <c r="J147" s="30">
        <f>SUM($H$18:$H147)</f>
        <v>609060.1234190308</v>
      </c>
    </row>
    <row r="148" spans="1:10" x14ac:dyDescent="0.2">
      <c r="A148" s="33">
        <f>IF(Values_Entered,A147+1,"")</f>
        <v>131</v>
      </c>
      <c r="B148" s="32">
        <f t="shared" si="16"/>
        <v>45261</v>
      </c>
      <c r="C148" s="30">
        <f t="shared" si="22"/>
        <v>902149.83801919501</v>
      </c>
      <c r="D148" s="30">
        <f t="shared" si="17"/>
        <v>6354.694503075656</v>
      </c>
      <c r="E148" s="31">
        <f t="shared" si="18"/>
        <v>0</v>
      </c>
      <c r="F148" s="30">
        <f t="shared" si="19"/>
        <v>6354.694503075656</v>
      </c>
      <c r="G148" s="30">
        <f t="shared" si="20"/>
        <v>2219.8410788210122</v>
      </c>
      <c r="H148" s="30">
        <f t="shared" si="23"/>
        <v>4134.8534242546439</v>
      </c>
      <c r="I148" s="30">
        <f t="shared" si="21"/>
        <v>899929.99694037403</v>
      </c>
      <c r="J148" s="30">
        <f>SUM($H$18:$H148)</f>
        <v>613194.97684328549</v>
      </c>
    </row>
    <row r="149" spans="1:10" x14ac:dyDescent="0.2">
      <c r="A149" s="33">
        <f>IF(Values_Entered,A148+1,"")</f>
        <v>132</v>
      </c>
      <c r="B149" s="32">
        <f t="shared" si="16"/>
        <v>45291</v>
      </c>
      <c r="C149" s="30">
        <f t="shared" si="22"/>
        <v>899929.99694037403</v>
      </c>
      <c r="D149" s="30">
        <f t="shared" si="17"/>
        <v>6354.694503075656</v>
      </c>
      <c r="E149" s="31">
        <f t="shared" si="18"/>
        <v>0</v>
      </c>
      <c r="F149" s="30">
        <f t="shared" si="19"/>
        <v>6354.694503075656</v>
      </c>
      <c r="G149" s="30">
        <f t="shared" si="20"/>
        <v>2230.0153504322752</v>
      </c>
      <c r="H149" s="30">
        <f t="shared" si="23"/>
        <v>4124.6791526433808</v>
      </c>
      <c r="I149" s="30">
        <f t="shared" si="21"/>
        <v>897699.98158994177</v>
      </c>
      <c r="J149" s="30">
        <f>SUM($H$18:$H149)</f>
        <v>617319.65599592892</v>
      </c>
    </row>
    <row r="150" spans="1:10" x14ac:dyDescent="0.2">
      <c r="A150" s="33">
        <f>IF(Values_Entered,A149+1,"")</f>
        <v>133</v>
      </c>
      <c r="B150" s="32">
        <f t="shared" si="16"/>
        <v>45322</v>
      </c>
      <c r="C150" s="30">
        <f t="shared" si="22"/>
        <v>897699.98158994177</v>
      </c>
      <c r="D150" s="30">
        <f t="shared" si="17"/>
        <v>6354.694503075656</v>
      </c>
      <c r="E150" s="31">
        <f t="shared" si="18"/>
        <v>0</v>
      </c>
      <c r="F150" s="30">
        <f t="shared" si="19"/>
        <v>6354.694503075656</v>
      </c>
      <c r="G150" s="30">
        <f t="shared" si="20"/>
        <v>2240.2362541217562</v>
      </c>
      <c r="H150" s="30">
        <f t="shared" si="23"/>
        <v>4114.4582489538998</v>
      </c>
      <c r="I150" s="30">
        <f t="shared" si="21"/>
        <v>895459.74533582001</v>
      </c>
      <c r="J150" s="30">
        <f>SUM($H$18:$H150)</f>
        <v>621434.11424488283</v>
      </c>
    </row>
    <row r="151" spans="1:10" x14ac:dyDescent="0.2">
      <c r="A151" s="33">
        <f>IF(Values_Entered,A150+1,"")</f>
        <v>134</v>
      </c>
      <c r="B151" s="32">
        <f t="shared" si="16"/>
        <v>45353</v>
      </c>
      <c r="C151" s="30">
        <f t="shared" si="22"/>
        <v>895459.74533582001</v>
      </c>
      <c r="D151" s="30">
        <f t="shared" si="17"/>
        <v>6354.694503075656</v>
      </c>
      <c r="E151" s="31">
        <f t="shared" si="18"/>
        <v>0</v>
      </c>
      <c r="F151" s="30">
        <f t="shared" si="19"/>
        <v>6354.694503075656</v>
      </c>
      <c r="G151" s="30">
        <f t="shared" si="20"/>
        <v>2250.5040036198143</v>
      </c>
      <c r="H151" s="30">
        <f t="shared" si="23"/>
        <v>4104.1904994558417</v>
      </c>
      <c r="I151" s="30">
        <f t="shared" si="21"/>
        <v>893209.24133220024</v>
      </c>
      <c r="J151" s="30">
        <f>SUM($H$18:$H151)</f>
        <v>625538.30474433862</v>
      </c>
    </row>
    <row r="152" spans="1:10" x14ac:dyDescent="0.2">
      <c r="A152" s="33">
        <f>IF(Values_Entered,A151+1,"")</f>
        <v>135</v>
      </c>
      <c r="B152" s="32">
        <f t="shared" si="16"/>
        <v>45382</v>
      </c>
      <c r="C152" s="30">
        <f t="shared" si="22"/>
        <v>893209.24133220024</v>
      </c>
      <c r="D152" s="30">
        <f t="shared" si="17"/>
        <v>6354.694503075656</v>
      </c>
      <c r="E152" s="31">
        <f t="shared" si="18"/>
        <v>0</v>
      </c>
      <c r="F152" s="30">
        <f t="shared" si="19"/>
        <v>6354.694503075656</v>
      </c>
      <c r="G152" s="30">
        <f t="shared" si="20"/>
        <v>2260.8188136364047</v>
      </c>
      <c r="H152" s="30">
        <f t="shared" si="23"/>
        <v>4093.8756894392513</v>
      </c>
      <c r="I152" s="30">
        <f t="shared" si="21"/>
        <v>890948.42251856381</v>
      </c>
      <c r="J152" s="30">
        <f>SUM($H$18:$H152)</f>
        <v>629632.18043377786</v>
      </c>
    </row>
    <row r="153" spans="1:10" x14ac:dyDescent="0.2">
      <c r="A153" s="33">
        <f>IF(Values_Entered,A152+1,"")</f>
        <v>136</v>
      </c>
      <c r="B153" s="32">
        <f t="shared" si="16"/>
        <v>45413</v>
      </c>
      <c r="C153" s="30">
        <f t="shared" si="22"/>
        <v>890948.42251856381</v>
      </c>
      <c r="D153" s="30">
        <f t="shared" si="17"/>
        <v>6354.694503075656</v>
      </c>
      <c r="E153" s="31">
        <f t="shared" si="18"/>
        <v>0</v>
      </c>
      <c r="F153" s="30">
        <f t="shared" si="19"/>
        <v>6354.694503075656</v>
      </c>
      <c r="G153" s="30">
        <f t="shared" si="20"/>
        <v>2271.180899865572</v>
      </c>
      <c r="H153" s="30">
        <f t="shared" si="23"/>
        <v>4083.5136032100841</v>
      </c>
      <c r="I153" s="30">
        <f t="shared" si="21"/>
        <v>888677.24161869823</v>
      </c>
      <c r="J153" s="30">
        <f>SUM($H$18:$H153)</f>
        <v>633715.69403698796</v>
      </c>
    </row>
    <row r="154" spans="1:10" x14ac:dyDescent="0.2">
      <c r="A154" s="33">
        <f>IF(Values_Entered,A153+1,"")</f>
        <v>137</v>
      </c>
      <c r="B154" s="32">
        <f t="shared" si="16"/>
        <v>45443</v>
      </c>
      <c r="C154" s="30">
        <f t="shared" si="22"/>
        <v>888677.24161869823</v>
      </c>
      <c r="D154" s="30">
        <f t="shared" si="17"/>
        <v>6354.694503075656</v>
      </c>
      <c r="E154" s="31">
        <f t="shared" si="18"/>
        <v>0</v>
      </c>
      <c r="F154" s="30">
        <f t="shared" si="19"/>
        <v>6354.694503075656</v>
      </c>
      <c r="G154" s="30">
        <f t="shared" si="20"/>
        <v>2281.590478989956</v>
      </c>
      <c r="H154" s="30">
        <f t="shared" si="23"/>
        <v>4073.1040240857001</v>
      </c>
      <c r="I154" s="30">
        <f t="shared" si="21"/>
        <v>886395.65113970824</v>
      </c>
      <c r="J154" s="30">
        <f>SUM($H$18:$H154)</f>
        <v>637788.79806107364</v>
      </c>
    </row>
    <row r="155" spans="1:10" x14ac:dyDescent="0.2">
      <c r="A155" s="33">
        <f>IF(Values_Entered,A154+1,"")</f>
        <v>138</v>
      </c>
      <c r="B155" s="32">
        <f t="shared" si="16"/>
        <v>45474</v>
      </c>
      <c r="C155" s="30">
        <f t="shared" si="22"/>
        <v>886395.65113970824</v>
      </c>
      <c r="D155" s="30">
        <f t="shared" si="17"/>
        <v>6354.694503075656</v>
      </c>
      <c r="E155" s="31">
        <f t="shared" si="18"/>
        <v>0</v>
      </c>
      <c r="F155" s="30">
        <f t="shared" si="19"/>
        <v>6354.694503075656</v>
      </c>
      <c r="G155" s="30">
        <f t="shared" si="20"/>
        <v>2292.0477686853264</v>
      </c>
      <c r="H155" s="30">
        <f t="shared" si="23"/>
        <v>4062.6467343903296</v>
      </c>
      <c r="I155" s="30">
        <f t="shared" si="21"/>
        <v>884103.60337102297</v>
      </c>
      <c r="J155" s="30">
        <f>SUM($H$18:$H155)</f>
        <v>641851.44479546393</v>
      </c>
    </row>
    <row r="156" spans="1:10" x14ac:dyDescent="0.2">
      <c r="A156" s="33">
        <f>IF(Values_Entered,A155+1,"")</f>
        <v>139</v>
      </c>
      <c r="B156" s="32">
        <f t="shared" si="16"/>
        <v>45504</v>
      </c>
      <c r="C156" s="30">
        <f t="shared" si="22"/>
        <v>884103.60337102297</v>
      </c>
      <c r="D156" s="30">
        <f t="shared" si="17"/>
        <v>6354.694503075656</v>
      </c>
      <c r="E156" s="31">
        <f t="shared" si="18"/>
        <v>0</v>
      </c>
      <c r="F156" s="30">
        <f t="shared" si="19"/>
        <v>6354.694503075656</v>
      </c>
      <c r="G156" s="30">
        <f t="shared" si="20"/>
        <v>2302.5529876251344</v>
      </c>
      <c r="H156" s="30">
        <f t="shared" si="23"/>
        <v>4052.1415154505216</v>
      </c>
      <c r="I156" s="30">
        <f t="shared" si="21"/>
        <v>881801.05038339784</v>
      </c>
      <c r="J156" s="30">
        <f>SUM($H$18:$H156)</f>
        <v>645903.58631091448</v>
      </c>
    </row>
    <row r="157" spans="1:10" x14ac:dyDescent="0.2">
      <c r="A157" s="33">
        <f>IF(Values_Entered,A156+1,"")</f>
        <v>140</v>
      </c>
      <c r="B157" s="32">
        <f t="shared" si="16"/>
        <v>45535</v>
      </c>
      <c r="C157" s="30">
        <f t="shared" si="22"/>
        <v>881801.05038339784</v>
      </c>
      <c r="D157" s="30">
        <f t="shared" si="17"/>
        <v>6354.694503075656</v>
      </c>
      <c r="E157" s="31">
        <f t="shared" si="18"/>
        <v>0</v>
      </c>
      <c r="F157" s="30">
        <f t="shared" si="19"/>
        <v>6354.694503075656</v>
      </c>
      <c r="G157" s="30">
        <f t="shared" si="20"/>
        <v>2313.1063554850825</v>
      </c>
      <c r="H157" s="30">
        <f t="shared" si="23"/>
        <v>4041.5881475905735</v>
      </c>
      <c r="I157" s="30">
        <f t="shared" si="21"/>
        <v>879487.9440279128</v>
      </c>
      <c r="J157" s="30">
        <f>SUM($H$18:$H157)</f>
        <v>649945.174458505</v>
      </c>
    </row>
    <row r="158" spans="1:10" x14ac:dyDescent="0.2">
      <c r="A158" s="33">
        <f>IF(Values_Entered,A157+1,"")</f>
        <v>141</v>
      </c>
      <c r="B158" s="32">
        <f t="shared" si="16"/>
        <v>45566</v>
      </c>
      <c r="C158" s="30">
        <f t="shared" si="22"/>
        <v>879487.9440279128</v>
      </c>
      <c r="D158" s="30">
        <f t="shared" si="17"/>
        <v>6354.694503075656</v>
      </c>
      <c r="E158" s="31">
        <f t="shared" si="18"/>
        <v>0</v>
      </c>
      <c r="F158" s="30">
        <f t="shared" si="19"/>
        <v>6354.694503075656</v>
      </c>
      <c r="G158" s="30">
        <f t="shared" si="20"/>
        <v>2323.708092947722</v>
      </c>
      <c r="H158" s="30">
        <f t="shared" si="23"/>
        <v>4030.9864101279341</v>
      </c>
      <c r="I158" s="30">
        <f t="shared" si="21"/>
        <v>877164.23593496508</v>
      </c>
      <c r="J158" s="30">
        <f>SUM($H$18:$H158)</f>
        <v>653976.16086863296</v>
      </c>
    </row>
    <row r="159" spans="1:10" x14ac:dyDescent="0.2">
      <c r="A159" s="33">
        <f>IF(Values_Entered,A158+1,"")</f>
        <v>142</v>
      </c>
      <c r="B159" s="32">
        <f t="shared" si="16"/>
        <v>45596</v>
      </c>
      <c r="C159" s="30">
        <f t="shared" si="22"/>
        <v>877164.23593496508</v>
      </c>
      <c r="D159" s="30">
        <f t="shared" si="17"/>
        <v>6354.694503075656</v>
      </c>
      <c r="E159" s="31">
        <f t="shared" si="18"/>
        <v>0</v>
      </c>
      <c r="F159" s="30">
        <f t="shared" si="19"/>
        <v>6354.694503075656</v>
      </c>
      <c r="G159" s="30">
        <f t="shared" si="20"/>
        <v>2334.3584217070661</v>
      </c>
      <c r="H159" s="30">
        <f t="shared" si="23"/>
        <v>4020.3360813685899</v>
      </c>
      <c r="I159" s="30">
        <f t="shared" si="21"/>
        <v>874829.87751325802</v>
      </c>
      <c r="J159" s="30">
        <f>SUM($H$18:$H159)</f>
        <v>657996.49695000157</v>
      </c>
    </row>
    <row r="160" spans="1:10" x14ac:dyDescent="0.2">
      <c r="A160" s="33">
        <f>IF(Values_Entered,A159+1,"")</f>
        <v>143</v>
      </c>
      <c r="B160" s="32">
        <f t="shared" si="16"/>
        <v>45627</v>
      </c>
      <c r="C160" s="30">
        <f t="shared" si="22"/>
        <v>874829.87751325802</v>
      </c>
      <c r="D160" s="30">
        <f t="shared" si="17"/>
        <v>6354.694503075656</v>
      </c>
      <c r="E160" s="31">
        <f t="shared" si="18"/>
        <v>0</v>
      </c>
      <c r="F160" s="30">
        <f t="shared" si="19"/>
        <v>6354.694503075656</v>
      </c>
      <c r="G160" s="30">
        <f t="shared" si="20"/>
        <v>2345.0575644732235</v>
      </c>
      <c r="H160" s="30">
        <f t="shared" si="23"/>
        <v>4009.6369386024326</v>
      </c>
      <c r="I160" s="30">
        <f t="shared" si="21"/>
        <v>872484.81994878477</v>
      </c>
      <c r="J160" s="30">
        <f>SUM($H$18:$H160)</f>
        <v>662006.133888604</v>
      </c>
    </row>
    <row r="161" spans="1:10" x14ac:dyDescent="0.2">
      <c r="A161" s="33">
        <f>IF(Values_Entered,A160+1,"")</f>
        <v>144</v>
      </c>
      <c r="B161" s="32">
        <f t="shared" si="16"/>
        <v>45657</v>
      </c>
      <c r="C161" s="30">
        <f t="shared" si="22"/>
        <v>872484.81994878477</v>
      </c>
      <c r="D161" s="30">
        <f t="shared" si="17"/>
        <v>6354.694503075656</v>
      </c>
      <c r="E161" s="31">
        <f t="shared" si="18"/>
        <v>0</v>
      </c>
      <c r="F161" s="30">
        <f t="shared" si="19"/>
        <v>6354.694503075656</v>
      </c>
      <c r="G161" s="30">
        <f t="shared" si="20"/>
        <v>2355.805744977059</v>
      </c>
      <c r="H161" s="30">
        <f t="shared" si="23"/>
        <v>3998.888758098597</v>
      </c>
      <c r="I161" s="30">
        <f t="shared" si="21"/>
        <v>870129.01420380769</v>
      </c>
      <c r="J161" s="30">
        <f>SUM($H$18:$H161)</f>
        <v>666005.02264670259</v>
      </c>
    </row>
    <row r="162" spans="1:10" x14ac:dyDescent="0.2">
      <c r="A162" s="33">
        <f>IF(Values_Entered,A161+1,"")</f>
        <v>145</v>
      </c>
      <c r="B162" s="32">
        <f t="shared" si="16"/>
        <v>45688</v>
      </c>
      <c r="C162" s="30">
        <f t="shared" si="22"/>
        <v>870129.01420380769</v>
      </c>
      <c r="D162" s="30">
        <f t="shared" si="17"/>
        <v>6354.694503075656</v>
      </c>
      <c r="E162" s="31">
        <f t="shared" si="18"/>
        <v>0</v>
      </c>
      <c r="F162" s="30">
        <f t="shared" si="19"/>
        <v>6354.694503075656</v>
      </c>
      <c r="G162" s="30">
        <f t="shared" si="20"/>
        <v>2366.6031879748712</v>
      </c>
      <c r="H162" s="30">
        <f t="shared" si="23"/>
        <v>3988.0913151007849</v>
      </c>
      <c r="I162" s="30">
        <f t="shared" si="21"/>
        <v>867762.4110158328</v>
      </c>
      <c r="J162" s="30">
        <f>SUM($H$18:$H162)</f>
        <v>669993.11396180338</v>
      </c>
    </row>
    <row r="163" spans="1:10" x14ac:dyDescent="0.2">
      <c r="A163" s="33">
        <f>IF(Values_Entered,A162+1,"")</f>
        <v>146</v>
      </c>
      <c r="B163" s="32">
        <f t="shared" si="16"/>
        <v>45719</v>
      </c>
      <c r="C163" s="30">
        <f t="shared" si="22"/>
        <v>867762.4110158328</v>
      </c>
      <c r="D163" s="30">
        <f t="shared" si="17"/>
        <v>6354.694503075656</v>
      </c>
      <c r="E163" s="31">
        <f t="shared" si="18"/>
        <v>0</v>
      </c>
      <c r="F163" s="30">
        <f t="shared" si="19"/>
        <v>6354.694503075656</v>
      </c>
      <c r="G163" s="30">
        <f t="shared" si="20"/>
        <v>2377.4501192530893</v>
      </c>
      <c r="H163" s="30">
        <f t="shared" si="23"/>
        <v>3977.2443838225668</v>
      </c>
      <c r="I163" s="30">
        <f t="shared" si="21"/>
        <v>865384.96089657967</v>
      </c>
      <c r="J163" s="30">
        <f>SUM($H$18:$H163)</f>
        <v>673970.35834562592</v>
      </c>
    </row>
    <row r="164" spans="1:10" x14ac:dyDescent="0.2">
      <c r="A164" s="33">
        <f>IF(Values_Entered,A163+1,"")</f>
        <v>147</v>
      </c>
      <c r="B164" s="32">
        <f t="shared" si="16"/>
        <v>45747</v>
      </c>
      <c r="C164" s="30">
        <f t="shared" si="22"/>
        <v>865384.96089657967</v>
      </c>
      <c r="D164" s="30">
        <f t="shared" si="17"/>
        <v>6354.694503075656</v>
      </c>
      <c r="E164" s="31">
        <f t="shared" si="18"/>
        <v>0</v>
      </c>
      <c r="F164" s="30">
        <f t="shared" si="19"/>
        <v>6354.694503075656</v>
      </c>
      <c r="G164" s="30">
        <f t="shared" si="20"/>
        <v>2388.3467656329994</v>
      </c>
      <c r="H164" s="30">
        <f t="shared" si="23"/>
        <v>3966.3477374426566</v>
      </c>
      <c r="I164" s="30">
        <f t="shared" si="21"/>
        <v>862996.61413094669</v>
      </c>
      <c r="J164" s="30">
        <f>SUM($H$18:$H164)</f>
        <v>677936.70608306862</v>
      </c>
    </row>
    <row r="165" spans="1:10" x14ac:dyDescent="0.2">
      <c r="A165" s="33">
        <f>IF(Values_Entered,A164+1,"")</f>
        <v>148</v>
      </c>
      <c r="B165" s="32">
        <f t="shared" si="16"/>
        <v>45778</v>
      </c>
      <c r="C165" s="30">
        <f t="shared" si="22"/>
        <v>862996.61413094669</v>
      </c>
      <c r="D165" s="30">
        <f t="shared" si="17"/>
        <v>6354.694503075656</v>
      </c>
      <c r="E165" s="31">
        <f t="shared" si="18"/>
        <v>0</v>
      </c>
      <c r="F165" s="30">
        <f t="shared" si="19"/>
        <v>6354.694503075656</v>
      </c>
      <c r="G165" s="30">
        <f t="shared" si="20"/>
        <v>2399.2933549754835</v>
      </c>
      <c r="H165" s="30">
        <f t="shared" si="23"/>
        <v>3955.4011481001726</v>
      </c>
      <c r="I165" s="30">
        <f t="shared" si="21"/>
        <v>860597.32077597117</v>
      </c>
      <c r="J165" s="30">
        <f>SUM($H$18:$H165)</f>
        <v>681892.10723116877</v>
      </c>
    </row>
    <row r="166" spans="1:10" x14ac:dyDescent="0.2">
      <c r="A166" s="33">
        <f>IF(Values_Entered,A165+1,"")</f>
        <v>149</v>
      </c>
      <c r="B166" s="32">
        <f t="shared" si="16"/>
        <v>45808</v>
      </c>
      <c r="C166" s="30">
        <f t="shared" si="22"/>
        <v>860597.32077597117</v>
      </c>
      <c r="D166" s="30">
        <f t="shared" si="17"/>
        <v>6354.694503075656</v>
      </c>
      <c r="E166" s="31">
        <f t="shared" si="18"/>
        <v>0</v>
      </c>
      <c r="F166" s="30">
        <f t="shared" si="19"/>
        <v>6354.694503075656</v>
      </c>
      <c r="G166" s="30">
        <f t="shared" si="20"/>
        <v>2410.2901161857881</v>
      </c>
      <c r="H166" s="30">
        <f t="shared" si="23"/>
        <v>3944.404386889868</v>
      </c>
      <c r="I166" s="30">
        <f t="shared" si="21"/>
        <v>858187.03065978538</v>
      </c>
      <c r="J166" s="30">
        <f>SUM($H$18:$H166)</f>
        <v>685836.51161805866</v>
      </c>
    </row>
    <row r="167" spans="1:10" x14ac:dyDescent="0.2">
      <c r="A167" s="33">
        <f>IF(Values_Entered,A166+1,"")</f>
        <v>150</v>
      </c>
      <c r="B167" s="32">
        <f t="shared" si="16"/>
        <v>45839</v>
      </c>
      <c r="C167" s="30">
        <f t="shared" si="22"/>
        <v>858187.03065978538</v>
      </c>
      <c r="D167" s="30">
        <f t="shared" si="17"/>
        <v>6354.694503075656</v>
      </c>
      <c r="E167" s="31">
        <f t="shared" si="18"/>
        <v>0</v>
      </c>
      <c r="F167" s="30">
        <f t="shared" si="19"/>
        <v>6354.694503075656</v>
      </c>
      <c r="G167" s="30">
        <f t="shared" si="20"/>
        <v>2421.3372792183068</v>
      </c>
      <c r="H167" s="30">
        <f t="shared" si="23"/>
        <v>3933.3572238573493</v>
      </c>
      <c r="I167" s="30">
        <f t="shared" si="21"/>
        <v>855765.69338056713</v>
      </c>
      <c r="J167" s="30">
        <f>SUM($H$18:$H167)</f>
        <v>689769.86884191597</v>
      </c>
    </row>
    <row r="168" spans="1:10" x14ac:dyDescent="0.2">
      <c r="A168" s="33">
        <f>IF(Values_Entered,A167+1,"")</f>
        <v>151</v>
      </c>
      <c r="B168" s="32">
        <f t="shared" si="16"/>
        <v>45869</v>
      </c>
      <c r="C168" s="30">
        <f t="shared" si="22"/>
        <v>855765.69338056713</v>
      </c>
      <c r="D168" s="30">
        <f t="shared" si="17"/>
        <v>6354.694503075656</v>
      </c>
      <c r="E168" s="31">
        <f t="shared" si="18"/>
        <v>0</v>
      </c>
      <c r="F168" s="30">
        <f t="shared" si="19"/>
        <v>6354.694503075656</v>
      </c>
      <c r="G168" s="30">
        <f t="shared" si="20"/>
        <v>2432.4350750813901</v>
      </c>
      <c r="H168" s="30">
        <f t="shared" si="23"/>
        <v>3922.2594279942659</v>
      </c>
      <c r="I168" s="30">
        <f t="shared" si="21"/>
        <v>853333.25830548571</v>
      </c>
      <c r="J168" s="30">
        <f>SUM($H$18:$H168)</f>
        <v>693692.12826991023</v>
      </c>
    </row>
    <row r="169" spans="1:10" x14ac:dyDescent="0.2">
      <c r="A169" s="33">
        <f>IF(Values_Entered,A168+1,"")</f>
        <v>152</v>
      </c>
      <c r="B169" s="32">
        <f t="shared" si="16"/>
        <v>45900</v>
      </c>
      <c r="C169" s="30">
        <f t="shared" si="22"/>
        <v>853333.25830548571</v>
      </c>
      <c r="D169" s="30">
        <f t="shared" si="17"/>
        <v>6354.694503075656</v>
      </c>
      <c r="E169" s="31">
        <f t="shared" si="18"/>
        <v>0</v>
      </c>
      <c r="F169" s="30">
        <f t="shared" si="19"/>
        <v>6354.694503075656</v>
      </c>
      <c r="G169" s="30">
        <f t="shared" si="20"/>
        <v>2443.58373584218</v>
      </c>
      <c r="H169" s="30">
        <f t="shared" si="23"/>
        <v>3911.1107672334761</v>
      </c>
      <c r="I169" s="30">
        <f t="shared" si="21"/>
        <v>850889.67456964357</v>
      </c>
      <c r="J169" s="30">
        <f>SUM($H$18:$H169)</f>
        <v>697603.23903714365</v>
      </c>
    </row>
    <row r="170" spans="1:10" x14ac:dyDescent="0.2">
      <c r="A170" s="33">
        <f>IF(Values_Entered,A169+1,"")</f>
        <v>153</v>
      </c>
      <c r="B170" s="32">
        <f t="shared" si="16"/>
        <v>45931</v>
      </c>
      <c r="C170" s="30">
        <f t="shared" si="22"/>
        <v>850889.67456964357</v>
      </c>
      <c r="D170" s="30">
        <f t="shared" si="17"/>
        <v>6354.694503075656</v>
      </c>
      <c r="E170" s="31">
        <f t="shared" si="18"/>
        <v>0</v>
      </c>
      <c r="F170" s="30">
        <f t="shared" si="19"/>
        <v>6354.694503075656</v>
      </c>
      <c r="G170" s="30">
        <f t="shared" si="20"/>
        <v>2454.7834946314561</v>
      </c>
      <c r="H170" s="30">
        <f t="shared" si="23"/>
        <v>3899.9110084442</v>
      </c>
      <c r="I170" s="30">
        <f t="shared" si="21"/>
        <v>848434.89107501216</v>
      </c>
      <c r="J170" s="30">
        <f>SUM($H$18:$H170)</f>
        <v>701503.1500455878</v>
      </c>
    </row>
    <row r="171" spans="1:10" x14ac:dyDescent="0.2">
      <c r="A171" s="33">
        <f>IF(Values_Entered,A170+1,"")</f>
        <v>154</v>
      </c>
      <c r="B171" s="32">
        <f t="shared" si="16"/>
        <v>45961</v>
      </c>
      <c r="C171" s="30">
        <f t="shared" si="22"/>
        <v>848434.89107501216</v>
      </c>
      <c r="D171" s="30">
        <f t="shared" si="17"/>
        <v>6354.694503075656</v>
      </c>
      <c r="E171" s="31">
        <f t="shared" si="18"/>
        <v>0</v>
      </c>
      <c r="F171" s="30">
        <f t="shared" si="19"/>
        <v>6354.694503075656</v>
      </c>
      <c r="G171" s="30">
        <f t="shared" si="20"/>
        <v>2466.0345856485169</v>
      </c>
      <c r="H171" s="30">
        <f t="shared" si="23"/>
        <v>3888.6599174271391</v>
      </c>
      <c r="I171" s="30">
        <f t="shared" si="21"/>
        <v>845968.85648936359</v>
      </c>
      <c r="J171" s="30">
        <f>SUM($H$18:$H171)</f>
        <v>705391.80996301491</v>
      </c>
    </row>
    <row r="172" spans="1:10" x14ac:dyDescent="0.2">
      <c r="A172" s="33">
        <f>IF(Values_Entered,A171+1,"")</f>
        <v>155</v>
      </c>
      <c r="B172" s="32">
        <f t="shared" si="16"/>
        <v>45992</v>
      </c>
      <c r="C172" s="30">
        <f t="shared" si="22"/>
        <v>845968.85648936359</v>
      </c>
      <c r="D172" s="30">
        <f t="shared" si="17"/>
        <v>6354.694503075656</v>
      </c>
      <c r="E172" s="31">
        <f t="shared" si="18"/>
        <v>0</v>
      </c>
      <c r="F172" s="30">
        <f t="shared" si="19"/>
        <v>6354.694503075656</v>
      </c>
      <c r="G172" s="30">
        <f t="shared" si="20"/>
        <v>2477.3372441660727</v>
      </c>
      <c r="H172" s="30">
        <f t="shared" si="23"/>
        <v>3877.3572589095834</v>
      </c>
      <c r="I172" s="30">
        <f t="shared" si="21"/>
        <v>843491.51924519753</v>
      </c>
      <c r="J172" s="30">
        <f>SUM($H$18:$H172)</f>
        <v>709269.16722192452</v>
      </c>
    </row>
    <row r="173" spans="1:10" x14ac:dyDescent="0.2">
      <c r="A173" s="33">
        <f>IF(Values_Entered,A172+1,"")</f>
        <v>156</v>
      </c>
      <c r="B173" s="32">
        <f t="shared" si="16"/>
        <v>46022</v>
      </c>
      <c r="C173" s="30">
        <f t="shared" si="22"/>
        <v>843491.51924519753</v>
      </c>
      <c r="D173" s="30">
        <f t="shared" si="17"/>
        <v>6354.694503075656</v>
      </c>
      <c r="E173" s="31">
        <f t="shared" si="18"/>
        <v>0</v>
      </c>
      <c r="F173" s="30">
        <f t="shared" si="19"/>
        <v>6354.694503075656</v>
      </c>
      <c r="G173" s="30">
        <f t="shared" si="20"/>
        <v>2488.6917065351677</v>
      </c>
      <c r="H173" s="30">
        <f t="shared" si="23"/>
        <v>3866.0027965404884</v>
      </c>
      <c r="I173" s="30">
        <f t="shared" si="21"/>
        <v>841002.82753866236</v>
      </c>
      <c r="J173" s="30">
        <f>SUM($H$18:$H173)</f>
        <v>713135.17001846503</v>
      </c>
    </row>
    <row r="174" spans="1:10" x14ac:dyDescent="0.2">
      <c r="A174" s="33">
        <f>IF(Values_Entered,A173+1,"")</f>
        <v>157</v>
      </c>
      <c r="B174" s="32">
        <f t="shared" si="16"/>
        <v>46053</v>
      </c>
      <c r="C174" s="30">
        <f t="shared" si="22"/>
        <v>841002.82753866236</v>
      </c>
      <c r="D174" s="30">
        <f t="shared" si="17"/>
        <v>6354.694503075656</v>
      </c>
      <c r="E174" s="31">
        <f t="shared" si="18"/>
        <v>0</v>
      </c>
      <c r="F174" s="30">
        <f t="shared" si="19"/>
        <v>6354.694503075656</v>
      </c>
      <c r="G174" s="30">
        <f t="shared" si="20"/>
        <v>2500.0982101901204</v>
      </c>
      <c r="H174" s="30">
        <f t="shared" si="23"/>
        <v>3854.5962928855356</v>
      </c>
      <c r="I174" s="30">
        <f t="shared" si="21"/>
        <v>838502.72932847228</v>
      </c>
      <c r="J174" s="30">
        <f>SUM($H$18:$H174)</f>
        <v>716989.76631135051</v>
      </c>
    </row>
    <row r="175" spans="1:10" x14ac:dyDescent="0.2">
      <c r="A175" s="33">
        <f>IF(Values_Entered,A174+1,"")</f>
        <v>158</v>
      </c>
      <c r="B175" s="32">
        <f t="shared" si="16"/>
        <v>46084</v>
      </c>
      <c r="C175" s="30">
        <f t="shared" si="22"/>
        <v>838502.72932847228</v>
      </c>
      <c r="D175" s="30">
        <f t="shared" si="17"/>
        <v>6354.694503075656</v>
      </c>
      <c r="E175" s="31">
        <f t="shared" si="18"/>
        <v>0</v>
      </c>
      <c r="F175" s="30">
        <f t="shared" si="19"/>
        <v>6354.694503075656</v>
      </c>
      <c r="G175" s="30">
        <f t="shared" si="20"/>
        <v>2511.5569936534916</v>
      </c>
      <c r="H175" s="30">
        <f t="shared" si="23"/>
        <v>3843.1375094221644</v>
      </c>
      <c r="I175" s="30">
        <f t="shared" si="21"/>
        <v>835991.17233481875</v>
      </c>
      <c r="J175" s="30">
        <f>SUM($H$18:$H175)</f>
        <v>720832.90382077266</v>
      </c>
    </row>
    <row r="176" spans="1:10" x14ac:dyDescent="0.2">
      <c r="A176" s="33">
        <f>IF(Values_Entered,A175+1,"")</f>
        <v>159</v>
      </c>
      <c r="B176" s="32">
        <f t="shared" si="16"/>
        <v>46112</v>
      </c>
      <c r="C176" s="30">
        <f t="shared" si="22"/>
        <v>835991.17233481875</v>
      </c>
      <c r="D176" s="30">
        <f t="shared" si="17"/>
        <v>6354.694503075656</v>
      </c>
      <c r="E176" s="31">
        <f t="shared" si="18"/>
        <v>0</v>
      </c>
      <c r="F176" s="30">
        <f t="shared" si="19"/>
        <v>6354.694503075656</v>
      </c>
      <c r="G176" s="30">
        <f t="shared" si="20"/>
        <v>2523.0682965410701</v>
      </c>
      <c r="H176" s="30">
        <f t="shared" si="23"/>
        <v>3831.6262065345859</v>
      </c>
      <c r="I176" s="30">
        <f t="shared" si="21"/>
        <v>833468.10403827764</v>
      </c>
      <c r="J176" s="30">
        <f>SUM($H$18:$H176)</f>
        <v>724664.53002730722</v>
      </c>
    </row>
    <row r="177" spans="1:10" x14ac:dyDescent="0.2">
      <c r="A177" s="33">
        <f>IF(Values_Entered,A176+1,"")</f>
        <v>160</v>
      </c>
      <c r="B177" s="32">
        <f t="shared" si="16"/>
        <v>46143</v>
      </c>
      <c r="C177" s="30">
        <f t="shared" si="22"/>
        <v>833468.10403827764</v>
      </c>
      <c r="D177" s="30">
        <f t="shared" si="17"/>
        <v>6354.694503075656</v>
      </c>
      <c r="E177" s="31">
        <f t="shared" si="18"/>
        <v>0</v>
      </c>
      <c r="F177" s="30">
        <f t="shared" si="19"/>
        <v>6354.694503075656</v>
      </c>
      <c r="G177" s="30">
        <f t="shared" si="20"/>
        <v>2534.6323595668837</v>
      </c>
      <c r="H177" s="30">
        <f t="shared" si="23"/>
        <v>3820.0621435087724</v>
      </c>
      <c r="I177" s="30">
        <f t="shared" si="21"/>
        <v>830933.47167871078</v>
      </c>
      <c r="J177" s="30">
        <f>SUM($H$18:$H177)</f>
        <v>728484.59217081603</v>
      </c>
    </row>
    <row r="178" spans="1:10" x14ac:dyDescent="0.2">
      <c r="A178" s="33">
        <f>IF(Values_Entered,A177+1,"")</f>
        <v>161</v>
      </c>
      <c r="B178" s="32">
        <f t="shared" si="16"/>
        <v>46173</v>
      </c>
      <c r="C178" s="30">
        <f t="shared" si="22"/>
        <v>830933.47167871078</v>
      </c>
      <c r="D178" s="30">
        <f t="shared" si="17"/>
        <v>6354.694503075656</v>
      </c>
      <c r="E178" s="31">
        <f t="shared" si="18"/>
        <v>0</v>
      </c>
      <c r="F178" s="30">
        <f t="shared" si="19"/>
        <v>6354.694503075656</v>
      </c>
      <c r="G178" s="30">
        <f t="shared" si="20"/>
        <v>2546.2494245482317</v>
      </c>
      <c r="H178" s="30">
        <f t="shared" si="23"/>
        <v>3808.4450785274244</v>
      </c>
      <c r="I178" s="30">
        <f t="shared" si="21"/>
        <v>828387.22225416254</v>
      </c>
      <c r="J178" s="30">
        <f>SUM($H$18:$H178)</f>
        <v>732293.03724934347</v>
      </c>
    </row>
    <row r="179" spans="1:10" x14ac:dyDescent="0.2">
      <c r="A179" s="33">
        <f>IF(Values_Entered,A178+1,"")</f>
        <v>162</v>
      </c>
      <c r="B179" s="32">
        <f t="shared" si="16"/>
        <v>46204</v>
      </c>
      <c r="C179" s="30">
        <f t="shared" si="22"/>
        <v>828387.22225416254</v>
      </c>
      <c r="D179" s="30">
        <f t="shared" si="17"/>
        <v>6354.694503075656</v>
      </c>
      <c r="E179" s="31">
        <f t="shared" si="18"/>
        <v>0</v>
      </c>
      <c r="F179" s="30">
        <f t="shared" si="19"/>
        <v>6354.694503075656</v>
      </c>
      <c r="G179" s="30">
        <f t="shared" si="20"/>
        <v>2557.9197344107447</v>
      </c>
      <c r="H179" s="30">
        <f t="shared" si="23"/>
        <v>3796.7747686649113</v>
      </c>
      <c r="I179" s="30">
        <f t="shared" si="21"/>
        <v>825829.30251975183</v>
      </c>
      <c r="J179" s="30">
        <f>SUM($H$18:$H179)</f>
        <v>736089.81201800844</v>
      </c>
    </row>
    <row r="180" spans="1:10" x14ac:dyDescent="0.2">
      <c r="A180" s="33">
        <f>IF(Values_Entered,A179+1,"")</f>
        <v>163</v>
      </c>
      <c r="B180" s="32">
        <f t="shared" si="16"/>
        <v>46234</v>
      </c>
      <c r="C180" s="30">
        <f t="shared" si="22"/>
        <v>825829.30251975183</v>
      </c>
      <c r="D180" s="30">
        <f t="shared" si="17"/>
        <v>6354.694503075656</v>
      </c>
      <c r="E180" s="31">
        <f t="shared" si="18"/>
        <v>0</v>
      </c>
      <c r="F180" s="30">
        <f t="shared" si="19"/>
        <v>6354.694503075656</v>
      </c>
      <c r="G180" s="30">
        <f t="shared" si="20"/>
        <v>2569.6435331934604</v>
      </c>
      <c r="H180" s="30">
        <f t="shared" si="23"/>
        <v>3785.0509698821957</v>
      </c>
      <c r="I180" s="30">
        <f t="shared" si="21"/>
        <v>823259.65898655832</v>
      </c>
      <c r="J180" s="30">
        <f>SUM($H$18:$H180)</f>
        <v>739874.86298789061</v>
      </c>
    </row>
    <row r="181" spans="1:10" x14ac:dyDescent="0.2">
      <c r="A181" s="33">
        <f>IF(Values_Entered,A180+1,"")</f>
        <v>164</v>
      </c>
      <c r="B181" s="32">
        <f t="shared" si="16"/>
        <v>46265</v>
      </c>
      <c r="C181" s="30">
        <f t="shared" si="22"/>
        <v>823259.65898655832</v>
      </c>
      <c r="D181" s="30">
        <f t="shared" si="17"/>
        <v>6354.694503075656</v>
      </c>
      <c r="E181" s="31">
        <f t="shared" si="18"/>
        <v>0</v>
      </c>
      <c r="F181" s="30">
        <f t="shared" si="19"/>
        <v>6354.694503075656</v>
      </c>
      <c r="G181" s="30">
        <f t="shared" si="20"/>
        <v>2581.4210660539302</v>
      </c>
      <c r="H181" s="30">
        <f t="shared" si="23"/>
        <v>3773.2734370217258</v>
      </c>
      <c r="I181" s="30">
        <f t="shared" si="21"/>
        <v>820678.23792050441</v>
      </c>
      <c r="J181" s="30">
        <f>SUM($H$18:$H181)</f>
        <v>743648.13642491237</v>
      </c>
    </row>
    <row r="182" spans="1:10" x14ac:dyDescent="0.2">
      <c r="A182" s="33">
        <f>IF(Values_Entered,A181+1,"")</f>
        <v>165</v>
      </c>
      <c r="B182" s="32">
        <f t="shared" si="16"/>
        <v>46296</v>
      </c>
      <c r="C182" s="30">
        <f t="shared" si="22"/>
        <v>820678.23792050441</v>
      </c>
      <c r="D182" s="30">
        <f t="shared" si="17"/>
        <v>6354.694503075656</v>
      </c>
      <c r="E182" s="31">
        <f t="shared" si="18"/>
        <v>0</v>
      </c>
      <c r="F182" s="30">
        <f t="shared" si="19"/>
        <v>6354.694503075656</v>
      </c>
      <c r="G182" s="30">
        <f t="shared" si="20"/>
        <v>2593.2525792733445</v>
      </c>
      <c r="H182" s="30">
        <f t="shared" si="23"/>
        <v>3761.4419238023115</v>
      </c>
      <c r="I182" s="30">
        <f t="shared" si="21"/>
        <v>818084.98534123111</v>
      </c>
      <c r="J182" s="30">
        <f>SUM($H$18:$H182)</f>
        <v>747409.57834871474</v>
      </c>
    </row>
    <row r="183" spans="1:10" x14ac:dyDescent="0.2">
      <c r="A183" s="33">
        <f>IF(Values_Entered,A182+1,"")</f>
        <v>166</v>
      </c>
      <c r="B183" s="32">
        <f t="shared" si="16"/>
        <v>46326</v>
      </c>
      <c r="C183" s="30">
        <f t="shared" si="22"/>
        <v>818084.98534123111</v>
      </c>
      <c r="D183" s="30">
        <f t="shared" si="17"/>
        <v>6354.694503075656</v>
      </c>
      <c r="E183" s="31">
        <f t="shared" si="18"/>
        <v>0</v>
      </c>
      <c r="F183" s="30">
        <f t="shared" si="19"/>
        <v>6354.694503075656</v>
      </c>
      <c r="G183" s="30">
        <f t="shared" si="20"/>
        <v>2605.1383202616798</v>
      </c>
      <c r="H183" s="30">
        <f t="shared" si="23"/>
        <v>3749.5561828139762</v>
      </c>
      <c r="I183" s="30">
        <f t="shared" si="21"/>
        <v>815479.84702096938</v>
      </c>
      <c r="J183" s="30">
        <f>SUM($H$18:$H183)</f>
        <v>751159.13453152869</v>
      </c>
    </row>
    <row r="184" spans="1:10" x14ac:dyDescent="0.2">
      <c r="A184" s="33">
        <f>IF(Values_Entered,A183+1,"")</f>
        <v>167</v>
      </c>
      <c r="B184" s="32">
        <f t="shared" si="16"/>
        <v>46357</v>
      </c>
      <c r="C184" s="30">
        <f t="shared" si="22"/>
        <v>815479.84702096938</v>
      </c>
      <c r="D184" s="30">
        <f t="shared" si="17"/>
        <v>6354.694503075656</v>
      </c>
      <c r="E184" s="31">
        <f t="shared" si="18"/>
        <v>0</v>
      </c>
      <c r="F184" s="30">
        <f t="shared" si="19"/>
        <v>6354.694503075656</v>
      </c>
      <c r="G184" s="30">
        <f t="shared" si="20"/>
        <v>2617.0785375628798</v>
      </c>
      <c r="H184" s="30">
        <f t="shared" si="23"/>
        <v>3737.6159655127763</v>
      </c>
      <c r="I184" s="30">
        <f t="shared" si="21"/>
        <v>812862.76848340651</v>
      </c>
      <c r="J184" s="30">
        <f>SUM($H$18:$H184)</f>
        <v>754896.7504970415</v>
      </c>
    </row>
    <row r="185" spans="1:10" x14ac:dyDescent="0.2">
      <c r="A185" s="33">
        <f>IF(Values_Entered,A184+1,"")</f>
        <v>168</v>
      </c>
      <c r="B185" s="32">
        <f t="shared" si="16"/>
        <v>46387</v>
      </c>
      <c r="C185" s="30">
        <f t="shared" si="22"/>
        <v>812862.76848340651</v>
      </c>
      <c r="D185" s="30">
        <f t="shared" si="17"/>
        <v>6354.694503075656</v>
      </c>
      <c r="E185" s="31">
        <f t="shared" si="18"/>
        <v>0</v>
      </c>
      <c r="F185" s="30">
        <f t="shared" si="19"/>
        <v>6354.694503075656</v>
      </c>
      <c r="G185" s="30">
        <f t="shared" si="20"/>
        <v>2629.0734808600428</v>
      </c>
      <c r="H185" s="30">
        <f t="shared" si="23"/>
        <v>3725.6210222156133</v>
      </c>
      <c r="I185" s="30">
        <f t="shared" si="21"/>
        <v>810233.69500254642</v>
      </c>
      <c r="J185" s="30">
        <f>SUM($H$18:$H185)</f>
        <v>758622.37151925708</v>
      </c>
    </row>
    <row r="186" spans="1:10" x14ac:dyDescent="0.2">
      <c r="A186" s="33">
        <f>IF(Values_Entered,A185+1,"")</f>
        <v>169</v>
      </c>
      <c r="B186" s="32">
        <f t="shared" si="16"/>
        <v>46418</v>
      </c>
      <c r="C186" s="30">
        <f t="shared" si="22"/>
        <v>810233.69500254642</v>
      </c>
      <c r="D186" s="30">
        <f t="shared" si="17"/>
        <v>6354.694503075656</v>
      </c>
      <c r="E186" s="31">
        <f t="shared" si="18"/>
        <v>0</v>
      </c>
      <c r="F186" s="30">
        <f t="shared" si="19"/>
        <v>6354.694503075656</v>
      </c>
      <c r="G186" s="30">
        <f t="shared" si="20"/>
        <v>2641.1234009806517</v>
      </c>
      <c r="H186" s="30">
        <f t="shared" si="23"/>
        <v>3713.5711020950043</v>
      </c>
      <c r="I186" s="30">
        <f t="shared" si="21"/>
        <v>807592.57160156581</v>
      </c>
      <c r="J186" s="30">
        <f>SUM($H$18:$H186)</f>
        <v>762335.94262135203</v>
      </c>
    </row>
    <row r="187" spans="1:10" x14ac:dyDescent="0.2">
      <c r="A187" s="33">
        <f>IF(Values_Entered,A186+1,"")</f>
        <v>170</v>
      </c>
      <c r="B187" s="32">
        <f t="shared" si="16"/>
        <v>46449</v>
      </c>
      <c r="C187" s="30">
        <f t="shared" si="22"/>
        <v>807592.57160156581</v>
      </c>
      <c r="D187" s="30">
        <f t="shared" si="17"/>
        <v>6354.694503075656</v>
      </c>
      <c r="E187" s="31">
        <f t="shared" si="18"/>
        <v>0</v>
      </c>
      <c r="F187" s="30">
        <f t="shared" si="19"/>
        <v>6354.694503075656</v>
      </c>
      <c r="G187" s="30">
        <f t="shared" si="20"/>
        <v>2653.2285499018126</v>
      </c>
      <c r="H187" s="30">
        <f t="shared" si="23"/>
        <v>3701.4659531738434</v>
      </c>
      <c r="I187" s="30">
        <f t="shared" si="21"/>
        <v>804939.34305166395</v>
      </c>
      <c r="J187" s="30">
        <f>SUM($H$18:$H187)</f>
        <v>766037.40857452585</v>
      </c>
    </row>
    <row r="188" spans="1:10" x14ac:dyDescent="0.2">
      <c r="A188" s="33">
        <f>IF(Values_Entered,A187+1,"")</f>
        <v>171</v>
      </c>
      <c r="B188" s="32">
        <f t="shared" si="16"/>
        <v>46477</v>
      </c>
      <c r="C188" s="30">
        <f t="shared" si="22"/>
        <v>804939.34305166395</v>
      </c>
      <c r="D188" s="30">
        <f t="shared" si="17"/>
        <v>6354.694503075656</v>
      </c>
      <c r="E188" s="31">
        <f t="shared" si="18"/>
        <v>0</v>
      </c>
      <c r="F188" s="30">
        <f t="shared" si="19"/>
        <v>6354.694503075656</v>
      </c>
      <c r="G188" s="30">
        <f t="shared" si="20"/>
        <v>2665.3891807555297</v>
      </c>
      <c r="H188" s="30">
        <f t="shared" si="23"/>
        <v>3689.3053223201264</v>
      </c>
      <c r="I188" s="30">
        <f t="shared" si="21"/>
        <v>802273.95387090847</v>
      </c>
      <c r="J188" s="30">
        <f>SUM($H$18:$H188)</f>
        <v>769726.71389684593</v>
      </c>
    </row>
    <row r="189" spans="1:10" x14ac:dyDescent="0.2">
      <c r="A189" s="33">
        <f>IF(Values_Entered,A188+1,"")</f>
        <v>172</v>
      </c>
      <c r="B189" s="32">
        <f t="shared" si="16"/>
        <v>46508</v>
      </c>
      <c r="C189" s="30">
        <f t="shared" si="22"/>
        <v>802273.95387090847</v>
      </c>
      <c r="D189" s="30">
        <f t="shared" si="17"/>
        <v>6354.694503075656</v>
      </c>
      <c r="E189" s="31">
        <f t="shared" si="18"/>
        <v>0</v>
      </c>
      <c r="F189" s="30">
        <f t="shared" si="19"/>
        <v>6354.694503075656</v>
      </c>
      <c r="G189" s="30">
        <f t="shared" si="20"/>
        <v>2677.6055478339917</v>
      </c>
      <c r="H189" s="30">
        <f t="shared" si="23"/>
        <v>3677.0889552416643</v>
      </c>
      <c r="I189" s="30">
        <f t="shared" si="21"/>
        <v>799596.34832307452</v>
      </c>
      <c r="J189" s="30">
        <f>SUM($H$18:$H189)</f>
        <v>773403.80285208765</v>
      </c>
    </row>
    <row r="190" spans="1:10" x14ac:dyDescent="0.2">
      <c r="A190" s="33">
        <f>IF(Values_Entered,A189+1,"")</f>
        <v>173</v>
      </c>
      <c r="B190" s="32">
        <f t="shared" si="16"/>
        <v>46538</v>
      </c>
      <c r="C190" s="30">
        <f t="shared" si="22"/>
        <v>799596.34832307452</v>
      </c>
      <c r="D190" s="30">
        <f t="shared" si="17"/>
        <v>6354.694503075656</v>
      </c>
      <c r="E190" s="31">
        <f t="shared" si="18"/>
        <v>0</v>
      </c>
      <c r="F190" s="30">
        <f t="shared" si="19"/>
        <v>6354.694503075656</v>
      </c>
      <c r="G190" s="30">
        <f t="shared" si="20"/>
        <v>2689.8779065948979</v>
      </c>
      <c r="H190" s="30">
        <f t="shared" si="23"/>
        <v>3664.8165964807581</v>
      </c>
      <c r="I190" s="30">
        <f t="shared" si="21"/>
        <v>796906.47041647963</v>
      </c>
      <c r="J190" s="30">
        <f>SUM($H$18:$H190)</f>
        <v>777068.61944856844</v>
      </c>
    </row>
    <row r="191" spans="1:10" x14ac:dyDescent="0.2">
      <c r="A191" s="33">
        <f>IF(Values_Entered,A190+1,"")</f>
        <v>174</v>
      </c>
      <c r="B191" s="32">
        <f t="shared" si="16"/>
        <v>46569</v>
      </c>
      <c r="C191" s="30">
        <f t="shared" si="22"/>
        <v>796906.47041647963</v>
      </c>
      <c r="D191" s="30">
        <f t="shared" si="17"/>
        <v>6354.694503075656</v>
      </c>
      <c r="E191" s="31">
        <f t="shared" si="18"/>
        <v>0</v>
      </c>
      <c r="F191" s="30">
        <f t="shared" si="19"/>
        <v>6354.694503075656</v>
      </c>
      <c r="G191" s="30">
        <f t="shared" si="20"/>
        <v>2702.2065136667911</v>
      </c>
      <c r="H191" s="30">
        <f t="shared" si="23"/>
        <v>3652.4879894088649</v>
      </c>
      <c r="I191" s="30">
        <f t="shared" si="21"/>
        <v>794204.26390281285</v>
      </c>
      <c r="J191" s="30">
        <f>SUM($H$18:$H191)</f>
        <v>780721.10743797733</v>
      </c>
    </row>
    <row r="192" spans="1:10" x14ac:dyDescent="0.2">
      <c r="A192" s="33">
        <f>IF(Values_Entered,A191+1,"")</f>
        <v>175</v>
      </c>
      <c r="B192" s="32">
        <f t="shared" si="16"/>
        <v>46599</v>
      </c>
      <c r="C192" s="30">
        <f t="shared" si="22"/>
        <v>794204.26390281285</v>
      </c>
      <c r="D192" s="30">
        <f t="shared" si="17"/>
        <v>6354.694503075656</v>
      </c>
      <c r="E192" s="31">
        <f t="shared" si="18"/>
        <v>0</v>
      </c>
      <c r="F192" s="30">
        <f t="shared" si="19"/>
        <v>6354.694503075656</v>
      </c>
      <c r="G192" s="30">
        <f t="shared" si="20"/>
        <v>2714.5916268544302</v>
      </c>
      <c r="H192" s="30">
        <f t="shared" si="23"/>
        <v>3640.1028762212259</v>
      </c>
      <c r="I192" s="30">
        <f t="shared" si="21"/>
        <v>791489.67227595847</v>
      </c>
      <c r="J192" s="30">
        <f>SUM($H$18:$H192)</f>
        <v>784361.21031419851</v>
      </c>
    </row>
    <row r="193" spans="1:10" x14ac:dyDescent="0.2">
      <c r="A193" s="33">
        <f>IF(Values_Entered,A192+1,"")</f>
        <v>176</v>
      </c>
      <c r="B193" s="32">
        <f t="shared" si="16"/>
        <v>46630</v>
      </c>
      <c r="C193" s="30">
        <f t="shared" si="22"/>
        <v>791489.67227595847</v>
      </c>
      <c r="D193" s="30">
        <f t="shared" si="17"/>
        <v>6354.694503075656</v>
      </c>
      <c r="E193" s="31">
        <f t="shared" si="18"/>
        <v>0</v>
      </c>
      <c r="F193" s="30">
        <f t="shared" si="19"/>
        <v>6354.694503075656</v>
      </c>
      <c r="G193" s="30">
        <f t="shared" si="20"/>
        <v>2727.0335051441798</v>
      </c>
      <c r="H193" s="30">
        <f t="shared" si="23"/>
        <v>3627.6609979314762</v>
      </c>
      <c r="I193" s="30">
        <f t="shared" si="21"/>
        <v>788762.63877081429</v>
      </c>
      <c r="J193" s="30">
        <f>SUM($H$18:$H193)</f>
        <v>787988.87131213001</v>
      </c>
    </row>
    <row r="194" spans="1:10" x14ac:dyDescent="0.2">
      <c r="A194" s="33">
        <f>IF(Values_Entered,A193+1,"")</f>
        <v>177</v>
      </c>
      <c r="B194" s="32">
        <f t="shared" si="16"/>
        <v>46661</v>
      </c>
      <c r="C194" s="30">
        <f t="shared" si="22"/>
        <v>788762.63877081429</v>
      </c>
      <c r="D194" s="30">
        <f t="shared" si="17"/>
        <v>6354.694503075656</v>
      </c>
      <c r="E194" s="31">
        <f t="shared" si="18"/>
        <v>0</v>
      </c>
      <c r="F194" s="30">
        <f t="shared" si="19"/>
        <v>6354.694503075656</v>
      </c>
      <c r="G194" s="30">
        <f t="shared" si="20"/>
        <v>2739.5324087094236</v>
      </c>
      <c r="H194" s="30">
        <f t="shared" si="23"/>
        <v>3615.1620943662324</v>
      </c>
      <c r="I194" s="30">
        <f t="shared" si="21"/>
        <v>786023.10636210488</v>
      </c>
      <c r="J194" s="30">
        <f>SUM($H$18:$H194)</f>
        <v>791604.03340649628</v>
      </c>
    </row>
    <row r="195" spans="1:10" x14ac:dyDescent="0.2">
      <c r="A195" s="33">
        <f>IF(Values_Entered,A194+1,"")</f>
        <v>178</v>
      </c>
      <c r="B195" s="32">
        <f t="shared" si="16"/>
        <v>46691</v>
      </c>
      <c r="C195" s="30">
        <f t="shared" si="22"/>
        <v>786023.10636210488</v>
      </c>
      <c r="D195" s="30">
        <f t="shared" si="17"/>
        <v>6354.694503075656</v>
      </c>
      <c r="E195" s="31">
        <f t="shared" si="18"/>
        <v>0</v>
      </c>
      <c r="F195" s="30">
        <f t="shared" si="19"/>
        <v>6354.694503075656</v>
      </c>
      <c r="G195" s="30">
        <f t="shared" si="20"/>
        <v>2752.0885989160088</v>
      </c>
      <c r="H195" s="30">
        <f t="shared" si="23"/>
        <v>3602.6059041596473</v>
      </c>
      <c r="I195" s="30">
        <f t="shared" si="21"/>
        <v>783271.01776318892</v>
      </c>
      <c r="J195" s="30">
        <f>SUM($H$18:$H195)</f>
        <v>795206.63931065588</v>
      </c>
    </row>
    <row r="196" spans="1:10" x14ac:dyDescent="0.2">
      <c r="A196" s="33">
        <f>IF(Values_Entered,A195+1,"")</f>
        <v>179</v>
      </c>
      <c r="B196" s="32">
        <f t="shared" si="16"/>
        <v>46722</v>
      </c>
      <c r="C196" s="30">
        <f t="shared" si="22"/>
        <v>783271.01776318892</v>
      </c>
      <c r="D196" s="30">
        <f t="shared" si="17"/>
        <v>6354.694503075656</v>
      </c>
      <c r="E196" s="31">
        <f t="shared" si="18"/>
        <v>0</v>
      </c>
      <c r="F196" s="30">
        <f t="shared" si="19"/>
        <v>6354.694503075656</v>
      </c>
      <c r="G196" s="30">
        <f t="shared" si="20"/>
        <v>2764.7023383277069</v>
      </c>
      <c r="H196" s="30">
        <f t="shared" si="23"/>
        <v>3589.9921647479491</v>
      </c>
      <c r="I196" s="30">
        <f t="shared" si="21"/>
        <v>780506.31542486127</v>
      </c>
      <c r="J196" s="30">
        <f>SUM($H$18:$H196)</f>
        <v>798796.63147540379</v>
      </c>
    </row>
    <row r="197" spans="1:10" x14ac:dyDescent="0.2">
      <c r="A197" s="33">
        <f>IF(Values_Entered,A196+1,"")</f>
        <v>180</v>
      </c>
      <c r="B197" s="32">
        <f t="shared" si="16"/>
        <v>46752</v>
      </c>
      <c r="C197" s="30">
        <f t="shared" si="22"/>
        <v>780506.31542486127</v>
      </c>
      <c r="D197" s="30">
        <f t="shared" si="17"/>
        <v>6354.694503075656</v>
      </c>
      <c r="E197" s="31">
        <f t="shared" si="18"/>
        <v>0</v>
      </c>
      <c r="F197" s="30">
        <f t="shared" si="19"/>
        <v>6354.694503075656</v>
      </c>
      <c r="G197" s="30">
        <f t="shared" si="20"/>
        <v>2777.3738907117081</v>
      </c>
      <c r="H197" s="30">
        <f t="shared" si="23"/>
        <v>3577.3206123639479</v>
      </c>
      <c r="I197" s="30">
        <f t="shared" si="21"/>
        <v>777728.94153414958</v>
      </c>
      <c r="J197" s="30">
        <f>SUM($H$18:$H197)</f>
        <v>802373.95208776777</v>
      </c>
    </row>
    <row r="198" spans="1:10" x14ac:dyDescent="0.2">
      <c r="A198" s="33">
        <f>IF(Values_Entered,A197+1,"")</f>
        <v>181</v>
      </c>
      <c r="B198" s="32">
        <f t="shared" si="16"/>
        <v>46783</v>
      </c>
      <c r="C198" s="30">
        <f t="shared" si="22"/>
        <v>777728.94153414958</v>
      </c>
      <c r="D198" s="30">
        <f t="shared" si="17"/>
        <v>6354.694503075656</v>
      </c>
      <c r="E198" s="31">
        <f t="shared" si="18"/>
        <v>0</v>
      </c>
      <c r="F198" s="30">
        <f t="shared" si="19"/>
        <v>6354.694503075656</v>
      </c>
      <c r="G198" s="30">
        <f t="shared" si="20"/>
        <v>2790.1035210441369</v>
      </c>
      <c r="H198" s="30">
        <f t="shared" si="23"/>
        <v>3564.5909820315192</v>
      </c>
      <c r="I198" s="30">
        <f t="shared" si="21"/>
        <v>774938.83801310544</v>
      </c>
      <c r="J198" s="30">
        <f>SUM($H$18:$H198)</f>
        <v>805938.54306979931</v>
      </c>
    </row>
    <row r="199" spans="1:10" x14ac:dyDescent="0.2">
      <c r="A199" s="33">
        <f>IF(Values_Entered,A198+1,"")</f>
        <v>182</v>
      </c>
      <c r="B199" s="32">
        <f t="shared" si="16"/>
        <v>46814</v>
      </c>
      <c r="C199" s="30">
        <f t="shared" si="22"/>
        <v>774938.83801310544</v>
      </c>
      <c r="D199" s="30">
        <f t="shared" si="17"/>
        <v>6354.694503075656</v>
      </c>
      <c r="E199" s="31">
        <f t="shared" si="18"/>
        <v>0</v>
      </c>
      <c r="F199" s="30">
        <f t="shared" si="19"/>
        <v>6354.694503075656</v>
      </c>
      <c r="G199" s="30">
        <f t="shared" si="20"/>
        <v>2802.8914955155892</v>
      </c>
      <c r="H199" s="30">
        <f t="shared" si="23"/>
        <v>3551.8030075600668</v>
      </c>
      <c r="I199" s="30">
        <f t="shared" si="21"/>
        <v>772135.94651758985</v>
      </c>
      <c r="J199" s="30">
        <f>SUM($H$18:$H199)</f>
        <v>809490.3460773594</v>
      </c>
    </row>
    <row r="200" spans="1:10" x14ac:dyDescent="0.2">
      <c r="A200" s="33">
        <f>IF(Values_Entered,A199+1,"")</f>
        <v>183</v>
      </c>
      <c r="B200" s="32">
        <f t="shared" si="16"/>
        <v>46843</v>
      </c>
      <c r="C200" s="30">
        <f t="shared" si="22"/>
        <v>772135.94651758985</v>
      </c>
      <c r="D200" s="30">
        <f t="shared" si="17"/>
        <v>6354.694503075656</v>
      </c>
      <c r="E200" s="31">
        <f t="shared" si="18"/>
        <v>0</v>
      </c>
      <c r="F200" s="30">
        <f t="shared" si="19"/>
        <v>6354.694503075656</v>
      </c>
      <c r="G200" s="30">
        <f t="shared" si="20"/>
        <v>2815.7380815367028</v>
      </c>
      <c r="H200" s="30">
        <f t="shared" si="23"/>
        <v>3538.9564215389532</v>
      </c>
      <c r="I200" s="30">
        <f t="shared" si="21"/>
        <v>769320.20843605313</v>
      </c>
      <c r="J200" s="30">
        <f>SUM($H$18:$H200)</f>
        <v>813029.30249889835</v>
      </c>
    </row>
    <row r="201" spans="1:10" x14ac:dyDescent="0.2">
      <c r="A201" s="33">
        <f>IF(Values_Entered,A200+1,"")</f>
        <v>184</v>
      </c>
      <c r="B201" s="32">
        <f t="shared" si="16"/>
        <v>46874</v>
      </c>
      <c r="C201" s="30">
        <f t="shared" si="22"/>
        <v>769320.20843605313</v>
      </c>
      <c r="D201" s="30">
        <f t="shared" si="17"/>
        <v>6354.694503075656</v>
      </c>
      <c r="E201" s="31">
        <f t="shared" si="18"/>
        <v>0</v>
      </c>
      <c r="F201" s="30">
        <f t="shared" si="19"/>
        <v>6354.694503075656</v>
      </c>
      <c r="G201" s="30">
        <f t="shared" si="20"/>
        <v>2828.6435477437458</v>
      </c>
      <c r="H201" s="30">
        <f t="shared" si="23"/>
        <v>3526.0509553319102</v>
      </c>
      <c r="I201" s="30">
        <f t="shared" si="21"/>
        <v>766491.56488830934</v>
      </c>
      <c r="J201" s="30">
        <f>SUM($H$18:$H201)</f>
        <v>816555.35345423024</v>
      </c>
    </row>
    <row r="202" spans="1:10" x14ac:dyDescent="0.2">
      <c r="A202" s="33">
        <f>IF(Values_Entered,A201+1,"")</f>
        <v>185</v>
      </c>
      <c r="B202" s="32">
        <f t="shared" si="16"/>
        <v>46904</v>
      </c>
      <c r="C202" s="30">
        <f t="shared" si="22"/>
        <v>766491.56488830934</v>
      </c>
      <c r="D202" s="30">
        <f t="shared" si="17"/>
        <v>6354.694503075656</v>
      </c>
      <c r="E202" s="31">
        <f t="shared" si="18"/>
        <v>0</v>
      </c>
      <c r="F202" s="30">
        <f t="shared" si="19"/>
        <v>6354.694503075656</v>
      </c>
      <c r="G202" s="30">
        <f t="shared" si="20"/>
        <v>2841.608164004238</v>
      </c>
      <c r="H202" s="30">
        <f t="shared" si="23"/>
        <v>3513.086339071418</v>
      </c>
      <c r="I202" s="30">
        <f t="shared" si="21"/>
        <v>763649.95672430506</v>
      </c>
      <c r="J202" s="30">
        <f>SUM($H$18:$H202)</f>
        <v>820068.43979330163</v>
      </c>
    </row>
    <row r="203" spans="1:10" x14ac:dyDescent="0.2">
      <c r="A203" s="33">
        <f>IF(Values_Entered,A202+1,"")</f>
        <v>186</v>
      </c>
      <c r="B203" s="32">
        <f t="shared" si="16"/>
        <v>46935</v>
      </c>
      <c r="C203" s="30">
        <f t="shared" si="22"/>
        <v>763649.95672430506</v>
      </c>
      <c r="D203" s="30">
        <f t="shared" si="17"/>
        <v>6354.694503075656</v>
      </c>
      <c r="E203" s="31">
        <f t="shared" si="18"/>
        <v>0</v>
      </c>
      <c r="F203" s="30">
        <f t="shared" si="19"/>
        <v>6354.694503075656</v>
      </c>
      <c r="G203" s="30">
        <f t="shared" si="20"/>
        <v>2854.6322014225912</v>
      </c>
      <c r="H203" s="30">
        <f t="shared" si="23"/>
        <v>3500.0623016530649</v>
      </c>
      <c r="I203" s="30">
        <f t="shared" si="21"/>
        <v>760795.32452288247</v>
      </c>
      <c r="J203" s="30">
        <f>SUM($H$18:$H203)</f>
        <v>823568.50209495472</v>
      </c>
    </row>
    <row r="204" spans="1:10" x14ac:dyDescent="0.2">
      <c r="A204" s="33">
        <f>IF(Values_Entered,A203+1,"")</f>
        <v>187</v>
      </c>
      <c r="B204" s="32">
        <f t="shared" si="16"/>
        <v>46965</v>
      </c>
      <c r="C204" s="30">
        <f t="shared" si="22"/>
        <v>760795.32452288247</v>
      </c>
      <c r="D204" s="30">
        <f t="shared" si="17"/>
        <v>6354.694503075656</v>
      </c>
      <c r="E204" s="31">
        <f t="shared" si="18"/>
        <v>0</v>
      </c>
      <c r="F204" s="30">
        <f t="shared" si="19"/>
        <v>6354.694503075656</v>
      </c>
      <c r="G204" s="30">
        <f t="shared" si="20"/>
        <v>2867.7159323457781</v>
      </c>
      <c r="H204" s="30">
        <f t="shared" si="23"/>
        <v>3486.9785707298779</v>
      </c>
      <c r="I204" s="30">
        <f t="shared" si="21"/>
        <v>757927.60859053663</v>
      </c>
      <c r="J204" s="30">
        <f>SUM($H$18:$H204)</f>
        <v>827055.48066568456</v>
      </c>
    </row>
    <row r="205" spans="1:10" x14ac:dyDescent="0.2">
      <c r="A205" s="33">
        <f>IF(Values_Entered,A204+1,"")</f>
        <v>188</v>
      </c>
      <c r="B205" s="32">
        <f t="shared" si="16"/>
        <v>46996</v>
      </c>
      <c r="C205" s="30">
        <f t="shared" si="22"/>
        <v>757927.60859053663</v>
      </c>
      <c r="D205" s="30">
        <f t="shared" si="17"/>
        <v>6354.694503075656</v>
      </c>
      <c r="E205" s="31">
        <f t="shared" si="18"/>
        <v>0</v>
      </c>
      <c r="F205" s="30">
        <f t="shared" si="19"/>
        <v>6354.694503075656</v>
      </c>
      <c r="G205" s="30">
        <f t="shared" si="20"/>
        <v>2880.8596303690297</v>
      </c>
      <c r="H205" s="30">
        <f t="shared" si="23"/>
        <v>3473.8348727066264</v>
      </c>
      <c r="I205" s="30">
        <f t="shared" si="21"/>
        <v>755046.74896016764</v>
      </c>
      <c r="J205" s="30">
        <f>SUM($H$18:$H205)</f>
        <v>830529.31553839124</v>
      </c>
    </row>
    <row r="206" spans="1:10" x14ac:dyDescent="0.2">
      <c r="A206" s="33">
        <f>IF(Values_Entered,A205+1,"")</f>
        <v>189</v>
      </c>
      <c r="B206" s="32">
        <f t="shared" si="16"/>
        <v>47027</v>
      </c>
      <c r="C206" s="30">
        <f t="shared" si="22"/>
        <v>755046.74896016764</v>
      </c>
      <c r="D206" s="30">
        <f t="shared" si="17"/>
        <v>6354.694503075656</v>
      </c>
      <c r="E206" s="31">
        <f t="shared" si="18"/>
        <v>0</v>
      </c>
      <c r="F206" s="30">
        <f t="shared" si="19"/>
        <v>6354.694503075656</v>
      </c>
      <c r="G206" s="30">
        <f t="shared" si="20"/>
        <v>2894.0635703415542</v>
      </c>
      <c r="H206" s="30">
        <f t="shared" si="23"/>
        <v>3460.6309327341019</v>
      </c>
      <c r="I206" s="30">
        <f t="shared" si="21"/>
        <v>752152.68538982607</v>
      </c>
      <c r="J206" s="30">
        <f>SUM($H$18:$H206)</f>
        <v>833989.94647112535</v>
      </c>
    </row>
    <row r="207" spans="1:10" x14ac:dyDescent="0.2">
      <c r="A207" s="33">
        <f>IF(Values_Entered,A206+1,"")</f>
        <v>190</v>
      </c>
      <c r="B207" s="32">
        <f t="shared" si="16"/>
        <v>47057</v>
      </c>
      <c r="C207" s="30">
        <f t="shared" si="22"/>
        <v>752152.68538982607</v>
      </c>
      <c r="D207" s="30">
        <f t="shared" si="17"/>
        <v>6354.694503075656</v>
      </c>
      <c r="E207" s="31">
        <f t="shared" si="18"/>
        <v>0</v>
      </c>
      <c r="F207" s="30">
        <f t="shared" si="19"/>
        <v>6354.694503075656</v>
      </c>
      <c r="G207" s="30">
        <f t="shared" si="20"/>
        <v>2907.3280283722866</v>
      </c>
      <c r="H207" s="30">
        <f t="shared" si="23"/>
        <v>3447.3664747033695</v>
      </c>
      <c r="I207" s="30">
        <f t="shared" si="21"/>
        <v>749245.35736145382</v>
      </c>
      <c r="J207" s="30">
        <f>SUM($H$18:$H207)</f>
        <v>837437.31294582877</v>
      </c>
    </row>
    <row r="208" spans="1:10" x14ac:dyDescent="0.2">
      <c r="A208" s="33">
        <f>IF(Values_Entered,A207+1,"")</f>
        <v>191</v>
      </c>
      <c r="B208" s="32">
        <f t="shared" si="16"/>
        <v>47088</v>
      </c>
      <c r="C208" s="30">
        <f t="shared" si="22"/>
        <v>749245.35736145382</v>
      </c>
      <c r="D208" s="30">
        <f t="shared" si="17"/>
        <v>6354.694503075656</v>
      </c>
      <c r="E208" s="31">
        <f t="shared" si="18"/>
        <v>0</v>
      </c>
      <c r="F208" s="30">
        <f t="shared" si="19"/>
        <v>6354.694503075656</v>
      </c>
      <c r="G208" s="30">
        <f t="shared" si="20"/>
        <v>2920.6532818356591</v>
      </c>
      <c r="H208" s="30">
        <f t="shared" si="23"/>
        <v>3434.041221239997</v>
      </c>
      <c r="I208" s="30">
        <f t="shared" si="21"/>
        <v>746324.70407961821</v>
      </c>
      <c r="J208" s="30">
        <f>SUM($H$18:$H208)</f>
        <v>840871.35416706873</v>
      </c>
    </row>
    <row r="209" spans="1:10" x14ac:dyDescent="0.2">
      <c r="A209" s="33">
        <f>IF(Values_Entered,A208+1,"")</f>
        <v>192</v>
      </c>
      <c r="B209" s="32">
        <f t="shared" si="16"/>
        <v>47118</v>
      </c>
      <c r="C209" s="30">
        <f t="shared" si="22"/>
        <v>746324.70407961821</v>
      </c>
      <c r="D209" s="30">
        <f t="shared" si="17"/>
        <v>6354.694503075656</v>
      </c>
      <c r="E209" s="31">
        <f t="shared" si="18"/>
        <v>0</v>
      </c>
      <c r="F209" s="30">
        <f t="shared" si="19"/>
        <v>6354.694503075656</v>
      </c>
      <c r="G209" s="30">
        <f t="shared" si="20"/>
        <v>2934.0396093774057</v>
      </c>
      <c r="H209" s="30">
        <f t="shared" si="23"/>
        <v>3420.6548936982504</v>
      </c>
      <c r="I209" s="30">
        <f t="shared" si="21"/>
        <v>743390.66447024082</v>
      </c>
      <c r="J209" s="30">
        <f>SUM($H$18:$H209)</f>
        <v>844292.00906076701</v>
      </c>
    </row>
    <row r="210" spans="1:10" x14ac:dyDescent="0.2">
      <c r="A210" s="33">
        <f>IF(Values_Entered,A209+1,"")</f>
        <v>193</v>
      </c>
      <c r="B210" s="32">
        <f t="shared" ref="B210:B273" si="24">IF(Pay_Num&lt;&gt;"",DATE(YEAR(Loan_Start),MONTH(Loan_Start)+(Pay_Num)*12/Num_Pmt_Per_Year,DAY(Loan_Start)),"")</f>
        <v>47149</v>
      </c>
      <c r="C210" s="30">
        <f t="shared" si="22"/>
        <v>743390.66447024082</v>
      </c>
      <c r="D210" s="30">
        <f t="shared" ref="D210:D273" si="25">IF(Pay_Num&lt;&gt;"",Scheduled_Monthly_Payment,"")</f>
        <v>6354.694503075656</v>
      </c>
      <c r="E210" s="31">
        <f t="shared" ref="E210:E273" si="26">IF(AND(Pay_Num&lt;&gt;"",Sched_Pay+Scheduled_Extra_Payments&lt;Beg_Bal),Scheduled_Extra_Payments,IF(AND(Pay_Num&lt;&gt;"",Beg_Bal-Sched_Pay&gt;0),Beg_Bal-Sched_Pay,IF(Pay_Num&lt;&gt;"",0,"")))</f>
        <v>0</v>
      </c>
      <c r="F210" s="30">
        <f t="shared" ref="F210:F273" si="27">IF(AND(Pay_Num&lt;&gt;"",Sched_Pay+Extra_Pay&lt;Beg_Bal),Sched_Pay+Extra_Pay,IF(Pay_Num&lt;&gt;"",Beg_Bal,""))</f>
        <v>6354.694503075656</v>
      </c>
      <c r="G210" s="30">
        <f t="shared" ref="G210:G273" si="28">IF(Pay_Num&lt;&gt;"",Total_Pay-Int,"")</f>
        <v>2947.4872909203855</v>
      </c>
      <c r="H210" s="30">
        <f t="shared" si="23"/>
        <v>3407.2072121552706</v>
      </c>
      <c r="I210" s="30">
        <f t="shared" ref="I210:I273" si="29">IF(AND(Pay_Num&lt;&gt;"",Sched_Pay+Extra_Pay&lt;Beg_Bal),Beg_Bal-Princ,IF(Pay_Num&lt;&gt;"",0,""))</f>
        <v>740443.17717932048</v>
      </c>
      <c r="J210" s="30">
        <f>SUM($H$18:$H210)</f>
        <v>847699.21627292223</v>
      </c>
    </row>
    <row r="211" spans="1:10" x14ac:dyDescent="0.2">
      <c r="A211" s="33">
        <f>IF(Values_Entered,A210+1,"")</f>
        <v>194</v>
      </c>
      <c r="B211" s="32">
        <f t="shared" si="24"/>
        <v>47180</v>
      </c>
      <c r="C211" s="30">
        <f t="shared" ref="C211:C274" si="30">IF(Pay_Num&lt;&gt;"",I210,"")</f>
        <v>740443.17717932048</v>
      </c>
      <c r="D211" s="30">
        <f t="shared" si="25"/>
        <v>6354.694503075656</v>
      </c>
      <c r="E211" s="31">
        <f t="shared" si="26"/>
        <v>0</v>
      </c>
      <c r="F211" s="30">
        <f t="shared" si="27"/>
        <v>6354.694503075656</v>
      </c>
      <c r="G211" s="30">
        <f t="shared" si="28"/>
        <v>2960.9966076704372</v>
      </c>
      <c r="H211" s="30">
        <f t="shared" ref="H211:H274" si="31">IF(Pay_Num&lt;&gt;"",Beg_Bal*Interest_Rate/Num_Pmt_Per_Year,"")</f>
        <v>3393.6978954052188</v>
      </c>
      <c r="I211" s="30">
        <f t="shared" si="29"/>
        <v>737482.18057165004</v>
      </c>
      <c r="J211" s="30">
        <f>SUM($H$18:$H211)</f>
        <v>851092.91416832746</v>
      </c>
    </row>
    <row r="212" spans="1:10" x14ac:dyDescent="0.2">
      <c r="A212" s="33">
        <f>IF(Values_Entered,A211+1,"")</f>
        <v>195</v>
      </c>
      <c r="B212" s="32">
        <f t="shared" si="24"/>
        <v>47208</v>
      </c>
      <c r="C212" s="30">
        <f t="shared" si="30"/>
        <v>737482.18057165004</v>
      </c>
      <c r="D212" s="30">
        <f t="shared" si="25"/>
        <v>6354.694503075656</v>
      </c>
      <c r="E212" s="31">
        <f t="shared" si="26"/>
        <v>0</v>
      </c>
      <c r="F212" s="30">
        <f t="shared" si="27"/>
        <v>6354.694503075656</v>
      </c>
      <c r="G212" s="30">
        <f t="shared" si="28"/>
        <v>2974.5678421222601</v>
      </c>
      <c r="H212" s="30">
        <f t="shared" si="31"/>
        <v>3380.1266609533959</v>
      </c>
      <c r="I212" s="30">
        <f t="shared" si="29"/>
        <v>734507.61272952775</v>
      </c>
      <c r="J212" s="30">
        <f>SUM($H$18:$H212)</f>
        <v>854473.04082928086</v>
      </c>
    </row>
    <row r="213" spans="1:10" x14ac:dyDescent="0.2">
      <c r="A213" s="33">
        <f>IF(Values_Entered,A212+1,"")</f>
        <v>196</v>
      </c>
      <c r="B213" s="32">
        <f t="shared" si="24"/>
        <v>47239</v>
      </c>
      <c r="C213" s="30">
        <f t="shared" si="30"/>
        <v>734507.61272952775</v>
      </c>
      <c r="D213" s="30">
        <f t="shared" si="25"/>
        <v>6354.694503075656</v>
      </c>
      <c r="E213" s="31">
        <f t="shared" si="26"/>
        <v>0</v>
      </c>
      <c r="F213" s="30">
        <f t="shared" si="27"/>
        <v>6354.694503075656</v>
      </c>
      <c r="G213" s="30">
        <f t="shared" si="28"/>
        <v>2988.2012780653204</v>
      </c>
      <c r="H213" s="30">
        <f t="shared" si="31"/>
        <v>3366.4932250103357</v>
      </c>
      <c r="I213" s="30">
        <f t="shared" si="29"/>
        <v>731519.41145146242</v>
      </c>
      <c r="J213" s="30">
        <f>SUM($H$18:$H213)</f>
        <v>857839.5340542912</v>
      </c>
    </row>
    <row r="214" spans="1:10" x14ac:dyDescent="0.2">
      <c r="A214" s="33">
        <f>IF(Values_Entered,A213+1,"")</f>
        <v>197</v>
      </c>
      <c r="B214" s="32">
        <f t="shared" si="24"/>
        <v>47269</v>
      </c>
      <c r="C214" s="30">
        <f t="shared" si="30"/>
        <v>731519.41145146242</v>
      </c>
      <c r="D214" s="30">
        <f t="shared" si="25"/>
        <v>6354.694503075656</v>
      </c>
      <c r="E214" s="31">
        <f t="shared" si="26"/>
        <v>0</v>
      </c>
      <c r="F214" s="30">
        <f t="shared" si="27"/>
        <v>6354.694503075656</v>
      </c>
      <c r="G214" s="30">
        <f t="shared" si="28"/>
        <v>3001.8972005897867</v>
      </c>
      <c r="H214" s="30">
        <f t="shared" si="31"/>
        <v>3352.7973024858693</v>
      </c>
      <c r="I214" s="30">
        <f t="shared" si="29"/>
        <v>728517.51425087266</v>
      </c>
      <c r="J214" s="30">
        <f>SUM($H$18:$H214)</f>
        <v>861192.33135677711</v>
      </c>
    </row>
    <row r="215" spans="1:10" x14ac:dyDescent="0.2">
      <c r="A215" s="33">
        <f>IF(Values_Entered,A214+1,"")</f>
        <v>198</v>
      </c>
      <c r="B215" s="32">
        <f t="shared" si="24"/>
        <v>47300</v>
      </c>
      <c r="C215" s="30">
        <f t="shared" si="30"/>
        <v>728517.51425087266</v>
      </c>
      <c r="D215" s="30">
        <f t="shared" si="25"/>
        <v>6354.694503075656</v>
      </c>
      <c r="E215" s="31">
        <f t="shared" si="26"/>
        <v>0</v>
      </c>
      <c r="F215" s="30">
        <f t="shared" si="27"/>
        <v>6354.694503075656</v>
      </c>
      <c r="G215" s="30">
        <f t="shared" si="28"/>
        <v>3015.6558960924899</v>
      </c>
      <c r="H215" s="30">
        <f t="shared" si="31"/>
        <v>3339.0386069831661</v>
      </c>
      <c r="I215" s="30">
        <f t="shared" si="29"/>
        <v>725501.85835478012</v>
      </c>
      <c r="J215" s="30">
        <f>SUM($H$18:$H215)</f>
        <v>864531.36996376025</v>
      </c>
    </row>
    <row r="216" spans="1:10" x14ac:dyDescent="0.2">
      <c r="A216" s="33">
        <f>IF(Values_Entered,A215+1,"")</f>
        <v>199</v>
      </c>
      <c r="B216" s="32">
        <f t="shared" si="24"/>
        <v>47330</v>
      </c>
      <c r="C216" s="30">
        <f t="shared" si="30"/>
        <v>725501.85835478012</v>
      </c>
      <c r="D216" s="30">
        <f t="shared" si="25"/>
        <v>6354.694503075656</v>
      </c>
      <c r="E216" s="31">
        <f t="shared" si="26"/>
        <v>0</v>
      </c>
      <c r="F216" s="30">
        <f t="shared" si="27"/>
        <v>6354.694503075656</v>
      </c>
      <c r="G216" s="30">
        <f t="shared" si="28"/>
        <v>3029.4776522829138</v>
      </c>
      <c r="H216" s="30">
        <f t="shared" si="31"/>
        <v>3325.2168507927422</v>
      </c>
      <c r="I216" s="30">
        <f t="shared" si="29"/>
        <v>722472.3807024972</v>
      </c>
      <c r="J216" s="30">
        <f>SUM($H$18:$H216)</f>
        <v>867856.58681455301</v>
      </c>
    </row>
    <row r="217" spans="1:10" x14ac:dyDescent="0.2">
      <c r="A217" s="33">
        <f>IF(Values_Entered,A216+1,"")</f>
        <v>200</v>
      </c>
      <c r="B217" s="32">
        <f t="shared" si="24"/>
        <v>47361</v>
      </c>
      <c r="C217" s="30">
        <f t="shared" si="30"/>
        <v>722472.3807024972</v>
      </c>
      <c r="D217" s="30">
        <f t="shared" si="25"/>
        <v>6354.694503075656</v>
      </c>
      <c r="E217" s="31">
        <f t="shared" si="26"/>
        <v>0</v>
      </c>
      <c r="F217" s="30">
        <f t="shared" si="27"/>
        <v>6354.694503075656</v>
      </c>
      <c r="G217" s="30">
        <f t="shared" si="28"/>
        <v>3043.3627581892106</v>
      </c>
      <c r="H217" s="30">
        <f t="shared" si="31"/>
        <v>3311.3317448864454</v>
      </c>
      <c r="I217" s="30">
        <f t="shared" si="29"/>
        <v>719429.017944308</v>
      </c>
      <c r="J217" s="30">
        <f>SUM($H$18:$H217)</f>
        <v>871167.91855943948</v>
      </c>
    </row>
    <row r="218" spans="1:10" x14ac:dyDescent="0.2">
      <c r="A218" s="33">
        <f>IF(Values_Entered,A217+1,"")</f>
        <v>201</v>
      </c>
      <c r="B218" s="32">
        <f t="shared" si="24"/>
        <v>47392</v>
      </c>
      <c r="C218" s="30">
        <f t="shared" si="30"/>
        <v>719429.017944308</v>
      </c>
      <c r="D218" s="30">
        <f t="shared" si="25"/>
        <v>6354.694503075656</v>
      </c>
      <c r="E218" s="31">
        <f t="shared" si="26"/>
        <v>0</v>
      </c>
      <c r="F218" s="30">
        <f t="shared" si="27"/>
        <v>6354.694503075656</v>
      </c>
      <c r="G218" s="30">
        <f t="shared" si="28"/>
        <v>3057.3115041642445</v>
      </c>
      <c r="H218" s="30">
        <f t="shared" si="31"/>
        <v>3297.3829989114115</v>
      </c>
      <c r="I218" s="30">
        <f t="shared" si="29"/>
        <v>716371.70644014375</v>
      </c>
      <c r="J218" s="30">
        <f>SUM($H$18:$H218)</f>
        <v>874465.30155835091</v>
      </c>
    </row>
    <row r="219" spans="1:10" x14ac:dyDescent="0.2">
      <c r="A219" s="33">
        <f>IF(Values_Entered,A218+1,"")</f>
        <v>202</v>
      </c>
      <c r="B219" s="32">
        <f t="shared" si="24"/>
        <v>47422</v>
      </c>
      <c r="C219" s="30">
        <f t="shared" si="30"/>
        <v>716371.70644014375</v>
      </c>
      <c r="D219" s="30">
        <f t="shared" si="25"/>
        <v>6354.694503075656</v>
      </c>
      <c r="E219" s="31">
        <f t="shared" si="26"/>
        <v>0</v>
      </c>
      <c r="F219" s="30">
        <f t="shared" si="27"/>
        <v>6354.694503075656</v>
      </c>
      <c r="G219" s="30">
        <f t="shared" si="28"/>
        <v>3071.3241818916636</v>
      </c>
      <c r="H219" s="30">
        <f t="shared" si="31"/>
        <v>3283.3703211839925</v>
      </c>
      <c r="I219" s="30">
        <f t="shared" si="29"/>
        <v>713300.38225825212</v>
      </c>
      <c r="J219" s="30">
        <f>SUM($H$18:$H219)</f>
        <v>877748.67187953496</v>
      </c>
    </row>
    <row r="220" spans="1:10" x14ac:dyDescent="0.2">
      <c r="A220" s="33">
        <f>IF(Values_Entered,A219+1,"")</f>
        <v>203</v>
      </c>
      <c r="B220" s="32">
        <f t="shared" si="24"/>
        <v>47453</v>
      </c>
      <c r="C220" s="30">
        <f t="shared" si="30"/>
        <v>713300.38225825212</v>
      </c>
      <c r="D220" s="30">
        <f t="shared" si="25"/>
        <v>6354.694503075656</v>
      </c>
      <c r="E220" s="31">
        <f t="shared" si="26"/>
        <v>0</v>
      </c>
      <c r="F220" s="30">
        <f t="shared" si="27"/>
        <v>6354.694503075656</v>
      </c>
      <c r="G220" s="30">
        <f t="shared" si="28"/>
        <v>3085.4010843920005</v>
      </c>
      <c r="H220" s="30">
        <f t="shared" si="31"/>
        <v>3269.2934186836555</v>
      </c>
      <c r="I220" s="30">
        <f t="shared" si="29"/>
        <v>710214.98117386014</v>
      </c>
      <c r="J220" s="30">
        <f>SUM($H$18:$H220)</f>
        <v>881017.96529821865</v>
      </c>
    </row>
    <row r="221" spans="1:10" x14ac:dyDescent="0.2">
      <c r="A221" s="33">
        <f>IF(Values_Entered,A220+1,"")</f>
        <v>204</v>
      </c>
      <c r="B221" s="32">
        <f t="shared" si="24"/>
        <v>47483</v>
      </c>
      <c r="C221" s="30">
        <f t="shared" si="30"/>
        <v>710214.98117386014</v>
      </c>
      <c r="D221" s="30">
        <f t="shared" si="25"/>
        <v>6354.694503075656</v>
      </c>
      <c r="E221" s="31">
        <f t="shared" si="26"/>
        <v>0</v>
      </c>
      <c r="F221" s="30">
        <f t="shared" si="27"/>
        <v>6354.694503075656</v>
      </c>
      <c r="G221" s="30">
        <f t="shared" si="28"/>
        <v>3099.5425060287967</v>
      </c>
      <c r="H221" s="30">
        <f t="shared" si="31"/>
        <v>3255.1519970468594</v>
      </c>
      <c r="I221" s="30">
        <f t="shared" si="29"/>
        <v>707115.43866783136</v>
      </c>
      <c r="J221" s="30">
        <f>SUM($H$18:$H221)</f>
        <v>884273.11729526555</v>
      </c>
    </row>
    <row r="222" spans="1:10" x14ac:dyDescent="0.2">
      <c r="A222" s="33">
        <f>IF(Values_Entered,A221+1,"")</f>
        <v>205</v>
      </c>
      <c r="B222" s="32">
        <f t="shared" si="24"/>
        <v>47514</v>
      </c>
      <c r="C222" s="30">
        <f t="shared" si="30"/>
        <v>707115.43866783136</v>
      </c>
      <c r="D222" s="30">
        <f t="shared" si="25"/>
        <v>6354.694503075656</v>
      </c>
      <c r="E222" s="31">
        <f t="shared" si="26"/>
        <v>0</v>
      </c>
      <c r="F222" s="30">
        <f t="shared" si="27"/>
        <v>6354.694503075656</v>
      </c>
      <c r="G222" s="30">
        <f t="shared" si="28"/>
        <v>3113.7487425147624</v>
      </c>
      <c r="H222" s="30">
        <f t="shared" si="31"/>
        <v>3240.9457605608936</v>
      </c>
      <c r="I222" s="30">
        <f t="shared" si="29"/>
        <v>704001.6899253166</v>
      </c>
      <c r="J222" s="30">
        <f>SUM($H$18:$H222)</f>
        <v>887514.06305582647</v>
      </c>
    </row>
    <row r="223" spans="1:10" x14ac:dyDescent="0.2">
      <c r="A223" s="33">
        <f>IF(Values_Entered,A222+1,"")</f>
        <v>206</v>
      </c>
      <c r="B223" s="32">
        <f t="shared" si="24"/>
        <v>47545</v>
      </c>
      <c r="C223" s="30">
        <f t="shared" si="30"/>
        <v>704001.6899253166</v>
      </c>
      <c r="D223" s="30">
        <f t="shared" si="25"/>
        <v>6354.694503075656</v>
      </c>
      <c r="E223" s="31">
        <f t="shared" si="26"/>
        <v>0</v>
      </c>
      <c r="F223" s="30">
        <f t="shared" si="27"/>
        <v>6354.694503075656</v>
      </c>
      <c r="G223" s="30">
        <f t="shared" si="28"/>
        <v>3128.0200909179548</v>
      </c>
      <c r="H223" s="30">
        <f t="shared" si="31"/>
        <v>3226.6744121577012</v>
      </c>
      <c r="I223" s="30">
        <f t="shared" si="29"/>
        <v>700873.66983439866</v>
      </c>
      <c r="J223" s="30">
        <f>SUM($H$18:$H223)</f>
        <v>890740.7374679842</v>
      </c>
    </row>
    <row r="224" spans="1:10" x14ac:dyDescent="0.2">
      <c r="A224" s="33">
        <f>IF(Values_Entered,A223+1,"")</f>
        <v>207</v>
      </c>
      <c r="B224" s="32">
        <f t="shared" si="24"/>
        <v>47573</v>
      </c>
      <c r="C224" s="30">
        <f t="shared" si="30"/>
        <v>700873.66983439866</v>
      </c>
      <c r="D224" s="30">
        <f t="shared" si="25"/>
        <v>6354.694503075656</v>
      </c>
      <c r="E224" s="31">
        <f t="shared" si="26"/>
        <v>0</v>
      </c>
      <c r="F224" s="30">
        <f t="shared" si="27"/>
        <v>6354.694503075656</v>
      </c>
      <c r="G224" s="30">
        <f t="shared" si="28"/>
        <v>3142.3568496679959</v>
      </c>
      <c r="H224" s="30">
        <f t="shared" si="31"/>
        <v>3212.3376534076601</v>
      </c>
      <c r="I224" s="30">
        <f t="shared" si="29"/>
        <v>697731.3129847307</v>
      </c>
      <c r="J224" s="30">
        <f>SUM($H$18:$H224)</f>
        <v>893953.07512139191</v>
      </c>
    </row>
    <row r="225" spans="1:10" x14ac:dyDescent="0.2">
      <c r="A225" s="33">
        <f>IF(Values_Entered,A224+1,"")</f>
        <v>208</v>
      </c>
      <c r="B225" s="32">
        <f t="shared" si="24"/>
        <v>47604</v>
      </c>
      <c r="C225" s="30">
        <f t="shared" si="30"/>
        <v>697731.3129847307</v>
      </c>
      <c r="D225" s="30">
        <f t="shared" si="25"/>
        <v>6354.694503075656</v>
      </c>
      <c r="E225" s="31">
        <f t="shared" si="26"/>
        <v>0</v>
      </c>
      <c r="F225" s="30">
        <f t="shared" si="27"/>
        <v>6354.694503075656</v>
      </c>
      <c r="G225" s="30">
        <f t="shared" si="28"/>
        <v>3156.7593185623068</v>
      </c>
      <c r="H225" s="30">
        <f t="shared" si="31"/>
        <v>3197.9351845133492</v>
      </c>
      <c r="I225" s="30">
        <f t="shared" si="29"/>
        <v>694574.55366616836</v>
      </c>
      <c r="J225" s="30">
        <f>SUM($H$18:$H225)</f>
        <v>897151.01030590525</v>
      </c>
    </row>
    <row r="226" spans="1:10" x14ac:dyDescent="0.2">
      <c r="A226" s="33">
        <f>IF(Values_Entered,A225+1,"")</f>
        <v>209</v>
      </c>
      <c r="B226" s="32">
        <f t="shared" si="24"/>
        <v>47634</v>
      </c>
      <c r="C226" s="30">
        <f t="shared" si="30"/>
        <v>694574.55366616836</v>
      </c>
      <c r="D226" s="30">
        <f t="shared" si="25"/>
        <v>6354.694503075656</v>
      </c>
      <c r="E226" s="31">
        <f t="shared" si="26"/>
        <v>0</v>
      </c>
      <c r="F226" s="30">
        <f t="shared" si="27"/>
        <v>6354.694503075656</v>
      </c>
      <c r="G226" s="30">
        <f t="shared" si="28"/>
        <v>3171.2277987723846</v>
      </c>
      <c r="H226" s="30">
        <f t="shared" si="31"/>
        <v>3183.4667043032714</v>
      </c>
      <c r="I226" s="30">
        <f t="shared" si="29"/>
        <v>691403.32586739596</v>
      </c>
      <c r="J226" s="30">
        <f>SUM($H$18:$H226)</f>
        <v>900334.47701020853</v>
      </c>
    </row>
    <row r="227" spans="1:10" x14ac:dyDescent="0.2">
      <c r="A227" s="33">
        <f>IF(Values_Entered,A226+1,"")</f>
        <v>210</v>
      </c>
      <c r="B227" s="32">
        <f t="shared" si="24"/>
        <v>47665</v>
      </c>
      <c r="C227" s="30">
        <f t="shared" si="30"/>
        <v>691403.32586739596</v>
      </c>
      <c r="D227" s="30">
        <f t="shared" si="25"/>
        <v>6354.694503075656</v>
      </c>
      <c r="E227" s="31">
        <f t="shared" si="26"/>
        <v>0</v>
      </c>
      <c r="F227" s="30">
        <f t="shared" si="27"/>
        <v>6354.694503075656</v>
      </c>
      <c r="G227" s="30">
        <f t="shared" si="28"/>
        <v>3185.7625928500911</v>
      </c>
      <c r="H227" s="30">
        <f t="shared" si="31"/>
        <v>3168.9319102255649</v>
      </c>
      <c r="I227" s="30">
        <f t="shared" si="29"/>
        <v>688217.56327454583</v>
      </c>
      <c r="J227" s="30">
        <f>SUM($H$18:$H227)</f>
        <v>903503.40892043407</v>
      </c>
    </row>
    <row r="228" spans="1:10" x14ac:dyDescent="0.2">
      <c r="A228" s="33">
        <f>IF(Values_Entered,A227+1,"")</f>
        <v>211</v>
      </c>
      <c r="B228" s="32">
        <f t="shared" si="24"/>
        <v>47695</v>
      </c>
      <c r="C228" s="30">
        <f t="shared" si="30"/>
        <v>688217.56327454583</v>
      </c>
      <c r="D228" s="30">
        <f t="shared" si="25"/>
        <v>6354.694503075656</v>
      </c>
      <c r="E228" s="31">
        <f t="shared" si="26"/>
        <v>0</v>
      </c>
      <c r="F228" s="30">
        <f t="shared" si="27"/>
        <v>6354.694503075656</v>
      </c>
      <c r="G228" s="30">
        <f t="shared" si="28"/>
        <v>3200.3640047339873</v>
      </c>
      <c r="H228" s="30">
        <f t="shared" si="31"/>
        <v>3154.3304983416688</v>
      </c>
      <c r="I228" s="30">
        <f t="shared" si="29"/>
        <v>685017.19926981186</v>
      </c>
      <c r="J228" s="30">
        <f>SUM($H$18:$H228)</f>
        <v>906657.73941877577</v>
      </c>
    </row>
    <row r="229" spans="1:10" x14ac:dyDescent="0.2">
      <c r="A229" s="33">
        <f>IF(Values_Entered,A228+1,"")</f>
        <v>212</v>
      </c>
      <c r="B229" s="32">
        <f t="shared" si="24"/>
        <v>47726</v>
      </c>
      <c r="C229" s="30">
        <f t="shared" si="30"/>
        <v>685017.19926981186</v>
      </c>
      <c r="D229" s="30">
        <f t="shared" si="25"/>
        <v>6354.694503075656</v>
      </c>
      <c r="E229" s="31">
        <f t="shared" si="26"/>
        <v>0</v>
      </c>
      <c r="F229" s="30">
        <f t="shared" si="27"/>
        <v>6354.694503075656</v>
      </c>
      <c r="G229" s="30">
        <f t="shared" si="28"/>
        <v>3215.0323397556854</v>
      </c>
      <c r="H229" s="30">
        <f t="shared" si="31"/>
        <v>3139.6621633199707</v>
      </c>
      <c r="I229" s="30">
        <f t="shared" si="29"/>
        <v>681802.16693005618</v>
      </c>
      <c r="J229" s="30">
        <f>SUM($H$18:$H229)</f>
        <v>909797.40158209577</v>
      </c>
    </row>
    <row r="230" spans="1:10" x14ac:dyDescent="0.2">
      <c r="A230" s="33">
        <f>IF(Values_Entered,A229+1,"")</f>
        <v>213</v>
      </c>
      <c r="B230" s="32">
        <f t="shared" si="24"/>
        <v>47757</v>
      </c>
      <c r="C230" s="30">
        <f t="shared" si="30"/>
        <v>681802.16693005618</v>
      </c>
      <c r="D230" s="30">
        <f t="shared" si="25"/>
        <v>6354.694503075656</v>
      </c>
      <c r="E230" s="31">
        <f t="shared" si="26"/>
        <v>0</v>
      </c>
      <c r="F230" s="30">
        <f t="shared" si="27"/>
        <v>6354.694503075656</v>
      </c>
      <c r="G230" s="30">
        <f t="shared" si="28"/>
        <v>3229.7679046462322</v>
      </c>
      <c r="H230" s="30">
        <f t="shared" si="31"/>
        <v>3124.9265984294238</v>
      </c>
      <c r="I230" s="30">
        <f t="shared" si="29"/>
        <v>678572.39902540995</v>
      </c>
      <c r="J230" s="30">
        <f>SUM($H$18:$H230)</f>
        <v>912922.32818052522</v>
      </c>
    </row>
    <row r="231" spans="1:10" x14ac:dyDescent="0.2">
      <c r="A231" s="33">
        <f>IF(Values_Entered,A230+1,"")</f>
        <v>214</v>
      </c>
      <c r="B231" s="32">
        <f t="shared" si="24"/>
        <v>47787</v>
      </c>
      <c r="C231" s="30">
        <f t="shared" si="30"/>
        <v>678572.39902540995</v>
      </c>
      <c r="D231" s="30">
        <f t="shared" si="25"/>
        <v>6354.694503075656</v>
      </c>
      <c r="E231" s="31">
        <f t="shared" si="26"/>
        <v>0</v>
      </c>
      <c r="F231" s="30">
        <f t="shared" si="27"/>
        <v>6354.694503075656</v>
      </c>
      <c r="G231" s="30">
        <f t="shared" si="28"/>
        <v>3244.5710075425268</v>
      </c>
      <c r="H231" s="30">
        <f t="shared" si="31"/>
        <v>3110.1234955331292</v>
      </c>
      <c r="I231" s="30">
        <f t="shared" si="29"/>
        <v>675327.8280178674</v>
      </c>
      <c r="J231" s="30">
        <f>SUM($H$18:$H231)</f>
        <v>916032.45167605835</v>
      </c>
    </row>
    <row r="232" spans="1:10" x14ac:dyDescent="0.2">
      <c r="A232" s="33">
        <f>IF(Values_Entered,A231+1,"")</f>
        <v>215</v>
      </c>
      <c r="B232" s="32">
        <f t="shared" si="24"/>
        <v>47818</v>
      </c>
      <c r="C232" s="30">
        <f t="shared" si="30"/>
        <v>675327.8280178674</v>
      </c>
      <c r="D232" s="30">
        <f t="shared" si="25"/>
        <v>6354.694503075656</v>
      </c>
      <c r="E232" s="31">
        <f t="shared" si="26"/>
        <v>0</v>
      </c>
      <c r="F232" s="30">
        <f t="shared" si="27"/>
        <v>6354.694503075656</v>
      </c>
      <c r="G232" s="30">
        <f t="shared" si="28"/>
        <v>3259.4419579937639</v>
      </c>
      <c r="H232" s="30">
        <f t="shared" si="31"/>
        <v>3095.2525450818921</v>
      </c>
      <c r="I232" s="30">
        <f t="shared" si="29"/>
        <v>672068.38605987362</v>
      </c>
      <c r="J232" s="30">
        <f>SUM($H$18:$H232)</f>
        <v>919127.70422114024</v>
      </c>
    </row>
    <row r="233" spans="1:10" x14ac:dyDescent="0.2">
      <c r="A233" s="33">
        <f>IF(Values_Entered,A232+1,"")</f>
        <v>216</v>
      </c>
      <c r="B233" s="32">
        <f t="shared" si="24"/>
        <v>47848</v>
      </c>
      <c r="C233" s="30">
        <f t="shared" si="30"/>
        <v>672068.38605987362</v>
      </c>
      <c r="D233" s="30">
        <f t="shared" si="25"/>
        <v>6354.694503075656</v>
      </c>
      <c r="E233" s="31">
        <f t="shared" si="26"/>
        <v>0</v>
      </c>
      <c r="F233" s="30">
        <f t="shared" si="27"/>
        <v>6354.694503075656</v>
      </c>
      <c r="G233" s="30">
        <f t="shared" si="28"/>
        <v>3274.3810669679019</v>
      </c>
      <c r="H233" s="30">
        <f t="shared" si="31"/>
        <v>3080.3134361077541</v>
      </c>
      <c r="I233" s="30">
        <f t="shared" si="29"/>
        <v>668794.00499290577</v>
      </c>
      <c r="J233" s="30">
        <f>SUM($H$18:$H233)</f>
        <v>922208.01765724795</v>
      </c>
    </row>
    <row r="234" spans="1:10" x14ac:dyDescent="0.2">
      <c r="A234" s="33">
        <f>IF(Values_Entered,A233+1,"")</f>
        <v>217</v>
      </c>
      <c r="B234" s="32">
        <f t="shared" si="24"/>
        <v>47879</v>
      </c>
      <c r="C234" s="30">
        <f t="shared" si="30"/>
        <v>668794.00499290577</v>
      </c>
      <c r="D234" s="30">
        <f t="shared" si="25"/>
        <v>6354.694503075656</v>
      </c>
      <c r="E234" s="31">
        <f t="shared" si="26"/>
        <v>0</v>
      </c>
      <c r="F234" s="30">
        <f t="shared" si="27"/>
        <v>6354.694503075656</v>
      </c>
      <c r="G234" s="30">
        <f t="shared" si="28"/>
        <v>3289.3886468581713</v>
      </c>
      <c r="H234" s="30">
        <f t="shared" si="31"/>
        <v>3065.3058562174847</v>
      </c>
      <c r="I234" s="30">
        <f t="shared" si="29"/>
        <v>665504.61634604761</v>
      </c>
      <c r="J234" s="30">
        <f>SUM($H$18:$H234)</f>
        <v>925273.32351346547</v>
      </c>
    </row>
    <row r="235" spans="1:10" x14ac:dyDescent="0.2">
      <c r="A235" s="33">
        <f>IF(Values_Entered,A234+1,"")</f>
        <v>218</v>
      </c>
      <c r="B235" s="32">
        <f t="shared" si="24"/>
        <v>47910</v>
      </c>
      <c r="C235" s="30">
        <f t="shared" si="30"/>
        <v>665504.61634604761</v>
      </c>
      <c r="D235" s="30">
        <f t="shared" si="25"/>
        <v>6354.694503075656</v>
      </c>
      <c r="E235" s="31">
        <f t="shared" si="26"/>
        <v>0</v>
      </c>
      <c r="F235" s="30">
        <f t="shared" si="27"/>
        <v>6354.694503075656</v>
      </c>
      <c r="G235" s="30">
        <f t="shared" si="28"/>
        <v>3304.4650114896044</v>
      </c>
      <c r="H235" s="30">
        <f t="shared" si="31"/>
        <v>3050.2294915860516</v>
      </c>
      <c r="I235" s="30">
        <f t="shared" si="29"/>
        <v>662200.15133455803</v>
      </c>
      <c r="J235" s="30">
        <f>SUM($H$18:$H235)</f>
        <v>928323.55300505157</v>
      </c>
    </row>
    <row r="236" spans="1:10" x14ac:dyDescent="0.2">
      <c r="A236" s="33">
        <f>IF(Values_Entered,A235+1,"")</f>
        <v>219</v>
      </c>
      <c r="B236" s="32">
        <f t="shared" si="24"/>
        <v>47938</v>
      </c>
      <c r="C236" s="30">
        <f t="shared" si="30"/>
        <v>662200.15133455803</v>
      </c>
      <c r="D236" s="30">
        <f t="shared" si="25"/>
        <v>6354.694503075656</v>
      </c>
      <c r="E236" s="31">
        <f t="shared" si="26"/>
        <v>0</v>
      </c>
      <c r="F236" s="30">
        <f t="shared" si="27"/>
        <v>6354.694503075656</v>
      </c>
      <c r="G236" s="30">
        <f t="shared" si="28"/>
        <v>3319.6104761255988</v>
      </c>
      <c r="H236" s="30">
        <f t="shared" si="31"/>
        <v>3035.0840269500573</v>
      </c>
      <c r="I236" s="30">
        <f t="shared" si="29"/>
        <v>658880.54085843242</v>
      </c>
      <c r="J236" s="30">
        <f>SUM($H$18:$H236)</f>
        <v>931358.63703200163</v>
      </c>
    </row>
    <row r="237" spans="1:10" x14ac:dyDescent="0.2">
      <c r="A237" s="33">
        <f>IF(Values_Entered,A236+1,"")</f>
        <v>220</v>
      </c>
      <c r="B237" s="32">
        <f t="shared" si="24"/>
        <v>47969</v>
      </c>
      <c r="C237" s="30">
        <f t="shared" si="30"/>
        <v>658880.54085843242</v>
      </c>
      <c r="D237" s="30">
        <f t="shared" si="25"/>
        <v>6354.694503075656</v>
      </c>
      <c r="E237" s="31">
        <f t="shared" si="26"/>
        <v>0</v>
      </c>
      <c r="F237" s="30">
        <f t="shared" si="27"/>
        <v>6354.694503075656</v>
      </c>
      <c r="G237" s="30">
        <f t="shared" si="28"/>
        <v>3334.8253574745072</v>
      </c>
      <c r="H237" s="30">
        <f t="shared" si="31"/>
        <v>3019.8691456011488</v>
      </c>
      <c r="I237" s="30">
        <f t="shared" si="29"/>
        <v>655545.71550095791</v>
      </c>
      <c r="J237" s="30">
        <f>SUM($H$18:$H237)</f>
        <v>934378.5061776028</v>
      </c>
    </row>
    <row r="238" spans="1:10" x14ac:dyDescent="0.2">
      <c r="A238" s="33">
        <f>IF(Values_Entered,A237+1,"")</f>
        <v>221</v>
      </c>
      <c r="B238" s="32">
        <f t="shared" si="24"/>
        <v>47999</v>
      </c>
      <c r="C238" s="30">
        <f t="shared" si="30"/>
        <v>655545.71550095791</v>
      </c>
      <c r="D238" s="30">
        <f t="shared" si="25"/>
        <v>6354.694503075656</v>
      </c>
      <c r="E238" s="31">
        <f t="shared" si="26"/>
        <v>0</v>
      </c>
      <c r="F238" s="30">
        <f t="shared" si="27"/>
        <v>6354.694503075656</v>
      </c>
      <c r="G238" s="30">
        <f t="shared" si="28"/>
        <v>3350.1099736962656</v>
      </c>
      <c r="H238" s="30">
        <f t="shared" si="31"/>
        <v>3004.5845293793905</v>
      </c>
      <c r="I238" s="30">
        <f t="shared" si="29"/>
        <v>652195.60552726162</v>
      </c>
      <c r="J238" s="30">
        <f>SUM($H$18:$H238)</f>
        <v>937383.09070698218</v>
      </c>
    </row>
    <row r="239" spans="1:10" x14ac:dyDescent="0.2">
      <c r="A239" s="33">
        <f>IF(Values_Entered,A238+1,"")</f>
        <v>222</v>
      </c>
      <c r="B239" s="32">
        <f t="shared" si="24"/>
        <v>48030</v>
      </c>
      <c r="C239" s="30">
        <f t="shared" si="30"/>
        <v>652195.60552726162</v>
      </c>
      <c r="D239" s="30">
        <f t="shared" si="25"/>
        <v>6354.694503075656</v>
      </c>
      <c r="E239" s="31">
        <f t="shared" si="26"/>
        <v>0</v>
      </c>
      <c r="F239" s="30">
        <f t="shared" si="27"/>
        <v>6354.694503075656</v>
      </c>
      <c r="G239" s="30">
        <f t="shared" si="28"/>
        <v>3365.4646444090399</v>
      </c>
      <c r="H239" s="30">
        <f t="shared" si="31"/>
        <v>2989.2298586666161</v>
      </c>
      <c r="I239" s="30">
        <f t="shared" si="29"/>
        <v>648830.1408828526</v>
      </c>
      <c r="J239" s="30">
        <f>SUM($H$18:$H239)</f>
        <v>940372.32056564884</v>
      </c>
    </row>
    <row r="240" spans="1:10" x14ac:dyDescent="0.2">
      <c r="A240" s="33">
        <f>IF(Values_Entered,A239+1,"")</f>
        <v>223</v>
      </c>
      <c r="B240" s="32">
        <f t="shared" si="24"/>
        <v>48060</v>
      </c>
      <c r="C240" s="30">
        <f t="shared" si="30"/>
        <v>648830.1408828526</v>
      </c>
      <c r="D240" s="30">
        <f t="shared" si="25"/>
        <v>6354.694503075656</v>
      </c>
      <c r="E240" s="31">
        <f t="shared" si="26"/>
        <v>0</v>
      </c>
      <c r="F240" s="30">
        <f t="shared" si="27"/>
        <v>6354.694503075656</v>
      </c>
      <c r="G240" s="30">
        <f t="shared" si="28"/>
        <v>3380.8896906959149</v>
      </c>
      <c r="H240" s="30">
        <f t="shared" si="31"/>
        <v>2973.8048123797412</v>
      </c>
      <c r="I240" s="30">
        <f t="shared" si="29"/>
        <v>645449.25119215669</v>
      </c>
      <c r="J240" s="30">
        <f>SUM($H$18:$H240)</f>
        <v>943346.12537802861</v>
      </c>
    </row>
    <row r="241" spans="1:10" x14ac:dyDescent="0.2">
      <c r="A241" s="33">
        <f>IF(Values_Entered,A240+1,"")</f>
        <v>224</v>
      </c>
      <c r="B241" s="32">
        <f t="shared" si="24"/>
        <v>48091</v>
      </c>
      <c r="C241" s="30">
        <f t="shared" si="30"/>
        <v>645449.25119215669</v>
      </c>
      <c r="D241" s="30">
        <f t="shared" si="25"/>
        <v>6354.694503075656</v>
      </c>
      <c r="E241" s="31">
        <f t="shared" si="26"/>
        <v>0</v>
      </c>
      <c r="F241" s="30">
        <f t="shared" si="27"/>
        <v>6354.694503075656</v>
      </c>
      <c r="G241" s="30">
        <f t="shared" si="28"/>
        <v>3396.3854351116042</v>
      </c>
      <c r="H241" s="30">
        <f t="shared" si="31"/>
        <v>2958.3090679640518</v>
      </c>
      <c r="I241" s="30">
        <f t="shared" si="29"/>
        <v>642052.8657570451</v>
      </c>
      <c r="J241" s="30">
        <f>SUM($H$18:$H241)</f>
        <v>946304.43444599269</v>
      </c>
    </row>
    <row r="242" spans="1:10" x14ac:dyDescent="0.2">
      <c r="A242" s="33">
        <f>IF(Values_Entered,A241+1,"")</f>
        <v>225</v>
      </c>
      <c r="B242" s="32">
        <f t="shared" si="24"/>
        <v>48122</v>
      </c>
      <c r="C242" s="30">
        <f t="shared" si="30"/>
        <v>642052.8657570451</v>
      </c>
      <c r="D242" s="30">
        <f t="shared" si="25"/>
        <v>6354.694503075656</v>
      </c>
      <c r="E242" s="31">
        <f t="shared" si="26"/>
        <v>0</v>
      </c>
      <c r="F242" s="30">
        <f t="shared" si="27"/>
        <v>6354.694503075656</v>
      </c>
      <c r="G242" s="30">
        <f t="shared" si="28"/>
        <v>3411.9522016891992</v>
      </c>
      <c r="H242" s="30">
        <f t="shared" si="31"/>
        <v>2942.7423013864568</v>
      </c>
      <c r="I242" s="30">
        <f t="shared" si="29"/>
        <v>638640.91355535586</v>
      </c>
      <c r="J242" s="30">
        <f>SUM($H$18:$H242)</f>
        <v>949247.17674737913</v>
      </c>
    </row>
    <row r="243" spans="1:10" x14ac:dyDescent="0.2">
      <c r="A243" s="33">
        <f>IF(Values_Entered,A242+1,"")</f>
        <v>226</v>
      </c>
      <c r="B243" s="32">
        <f t="shared" si="24"/>
        <v>48152</v>
      </c>
      <c r="C243" s="30">
        <f t="shared" si="30"/>
        <v>638640.91355535586</v>
      </c>
      <c r="D243" s="30">
        <f t="shared" si="25"/>
        <v>6354.694503075656</v>
      </c>
      <c r="E243" s="31">
        <f t="shared" si="26"/>
        <v>0</v>
      </c>
      <c r="F243" s="30">
        <f t="shared" si="27"/>
        <v>6354.694503075656</v>
      </c>
      <c r="G243" s="30">
        <f t="shared" si="28"/>
        <v>3427.5903159469417</v>
      </c>
      <c r="H243" s="30">
        <f t="shared" si="31"/>
        <v>2927.1041871287143</v>
      </c>
      <c r="I243" s="30">
        <f t="shared" si="29"/>
        <v>635213.3232394089</v>
      </c>
      <c r="J243" s="30">
        <f>SUM($H$18:$H243)</f>
        <v>952174.28093450784</v>
      </c>
    </row>
    <row r="244" spans="1:10" x14ac:dyDescent="0.2">
      <c r="A244" s="33">
        <f>IF(Values_Entered,A243+1,"")</f>
        <v>227</v>
      </c>
      <c r="B244" s="32">
        <f t="shared" si="24"/>
        <v>48183</v>
      </c>
      <c r="C244" s="30">
        <f t="shared" si="30"/>
        <v>635213.3232394089</v>
      </c>
      <c r="D244" s="30">
        <f t="shared" si="25"/>
        <v>6354.694503075656</v>
      </c>
      <c r="E244" s="31">
        <f t="shared" si="26"/>
        <v>0</v>
      </c>
      <c r="F244" s="30">
        <f t="shared" si="27"/>
        <v>6354.694503075656</v>
      </c>
      <c r="G244" s="30">
        <f t="shared" si="28"/>
        <v>3443.3001048950318</v>
      </c>
      <c r="H244" s="30">
        <f t="shared" si="31"/>
        <v>2911.3943981806242</v>
      </c>
      <c r="I244" s="30">
        <f t="shared" si="29"/>
        <v>631770.02313451387</v>
      </c>
      <c r="J244" s="30">
        <f>SUM($H$18:$H244)</f>
        <v>955085.67533268849</v>
      </c>
    </row>
    <row r="245" spans="1:10" x14ac:dyDescent="0.2">
      <c r="A245" s="33">
        <f>IF(Values_Entered,A244+1,"")</f>
        <v>228</v>
      </c>
      <c r="B245" s="32">
        <f t="shared" si="24"/>
        <v>48213</v>
      </c>
      <c r="C245" s="30">
        <f t="shared" si="30"/>
        <v>631770.02313451387</v>
      </c>
      <c r="D245" s="30">
        <f t="shared" si="25"/>
        <v>6354.694503075656</v>
      </c>
      <c r="E245" s="31">
        <f t="shared" si="26"/>
        <v>0</v>
      </c>
      <c r="F245" s="30">
        <f t="shared" si="27"/>
        <v>6354.694503075656</v>
      </c>
      <c r="G245" s="30">
        <f t="shared" si="28"/>
        <v>3459.0818970424675</v>
      </c>
      <c r="H245" s="30">
        <f t="shared" si="31"/>
        <v>2895.6126060331885</v>
      </c>
      <c r="I245" s="30">
        <f t="shared" si="29"/>
        <v>628310.94123747142</v>
      </c>
      <c r="J245" s="30">
        <f>SUM($H$18:$H245)</f>
        <v>957981.28793872171</v>
      </c>
    </row>
    <row r="246" spans="1:10" x14ac:dyDescent="0.2">
      <c r="A246" s="33">
        <f>IF(Values_Entered,A245+1,"")</f>
        <v>229</v>
      </c>
      <c r="B246" s="32">
        <f t="shared" si="24"/>
        <v>48244</v>
      </c>
      <c r="C246" s="30">
        <f t="shared" si="30"/>
        <v>628310.94123747142</v>
      </c>
      <c r="D246" s="30">
        <f t="shared" si="25"/>
        <v>6354.694503075656</v>
      </c>
      <c r="E246" s="31">
        <f t="shared" si="26"/>
        <v>0</v>
      </c>
      <c r="F246" s="30">
        <f t="shared" si="27"/>
        <v>6354.694503075656</v>
      </c>
      <c r="G246" s="30">
        <f t="shared" si="28"/>
        <v>3474.9360224039119</v>
      </c>
      <c r="H246" s="30">
        <f t="shared" si="31"/>
        <v>2879.7584806717441</v>
      </c>
      <c r="I246" s="30">
        <f t="shared" si="29"/>
        <v>624836.00521506753</v>
      </c>
      <c r="J246" s="30">
        <f>SUM($H$18:$H246)</f>
        <v>960861.0464193935</v>
      </c>
    </row>
    <row r="247" spans="1:10" x14ac:dyDescent="0.2">
      <c r="A247" s="33">
        <f>IF(Values_Entered,A246+1,"")</f>
        <v>230</v>
      </c>
      <c r="B247" s="32">
        <f t="shared" si="24"/>
        <v>48275</v>
      </c>
      <c r="C247" s="30">
        <f t="shared" si="30"/>
        <v>624836.00521506753</v>
      </c>
      <c r="D247" s="30">
        <f t="shared" si="25"/>
        <v>6354.694503075656</v>
      </c>
      <c r="E247" s="31">
        <f t="shared" si="26"/>
        <v>0</v>
      </c>
      <c r="F247" s="30">
        <f t="shared" si="27"/>
        <v>6354.694503075656</v>
      </c>
      <c r="G247" s="30">
        <f t="shared" si="28"/>
        <v>3490.8628125065966</v>
      </c>
      <c r="H247" s="30">
        <f t="shared" si="31"/>
        <v>2863.8316905690594</v>
      </c>
      <c r="I247" s="30">
        <f t="shared" si="29"/>
        <v>621345.14240256092</v>
      </c>
      <c r="J247" s="30">
        <f>SUM($H$18:$H247)</f>
        <v>963724.87810996256</v>
      </c>
    </row>
    <row r="248" spans="1:10" x14ac:dyDescent="0.2">
      <c r="A248" s="33">
        <f>IF(Values_Entered,A247+1,"")</f>
        <v>231</v>
      </c>
      <c r="B248" s="32">
        <f t="shared" si="24"/>
        <v>48304</v>
      </c>
      <c r="C248" s="30">
        <f t="shared" si="30"/>
        <v>621345.14240256092</v>
      </c>
      <c r="D248" s="30">
        <f t="shared" si="25"/>
        <v>6354.694503075656</v>
      </c>
      <c r="E248" s="31">
        <f t="shared" si="26"/>
        <v>0</v>
      </c>
      <c r="F248" s="30">
        <f t="shared" si="27"/>
        <v>6354.694503075656</v>
      </c>
      <c r="G248" s="30">
        <f t="shared" si="28"/>
        <v>3506.8626003972518</v>
      </c>
      <c r="H248" s="30">
        <f t="shared" si="31"/>
        <v>2847.8319026784043</v>
      </c>
      <c r="I248" s="30">
        <f t="shared" si="29"/>
        <v>617838.27980216371</v>
      </c>
      <c r="J248" s="30">
        <f>SUM($H$18:$H248)</f>
        <v>966572.71001264092</v>
      </c>
    </row>
    <row r="249" spans="1:10" x14ac:dyDescent="0.2">
      <c r="A249" s="33">
        <f>IF(Values_Entered,A248+1,"")</f>
        <v>232</v>
      </c>
      <c r="B249" s="32">
        <f t="shared" si="24"/>
        <v>48335</v>
      </c>
      <c r="C249" s="30">
        <f t="shared" si="30"/>
        <v>617838.27980216371</v>
      </c>
      <c r="D249" s="30">
        <f t="shared" si="25"/>
        <v>6354.694503075656</v>
      </c>
      <c r="E249" s="31">
        <f t="shared" si="26"/>
        <v>0</v>
      </c>
      <c r="F249" s="30">
        <f t="shared" si="27"/>
        <v>6354.694503075656</v>
      </c>
      <c r="G249" s="30">
        <f t="shared" si="28"/>
        <v>3522.9357206490727</v>
      </c>
      <c r="H249" s="30">
        <f t="shared" si="31"/>
        <v>2831.7587824265834</v>
      </c>
      <c r="I249" s="30">
        <f t="shared" si="29"/>
        <v>614315.34408151463</v>
      </c>
      <c r="J249" s="30">
        <f>SUM($H$18:$H249)</f>
        <v>969404.46879506751</v>
      </c>
    </row>
    <row r="250" spans="1:10" x14ac:dyDescent="0.2">
      <c r="A250" s="33">
        <f>IF(Values_Entered,A249+1,"")</f>
        <v>233</v>
      </c>
      <c r="B250" s="32">
        <f t="shared" si="24"/>
        <v>48365</v>
      </c>
      <c r="C250" s="30">
        <f t="shared" si="30"/>
        <v>614315.34408151463</v>
      </c>
      <c r="D250" s="30">
        <f t="shared" si="25"/>
        <v>6354.694503075656</v>
      </c>
      <c r="E250" s="31">
        <f t="shared" si="26"/>
        <v>0</v>
      </c>
      <c r="F250" s="30">
        <f t="shared" si="27"/>
        <v>6354.694503075656</v>
      </c>
      <c r="G250" s="30">
        <f t="shared" si="28"/>
        <v>3539.082509368714</v>
      </c>
      <c r="H250" s="30">
        <f t="shared" si="31"/>
        <v>2815.611993706942</v>
      </c>
      <c r="I250" s="30">
        <f t="shared" si="29"/>
        <v>610776.26157214597</v>
      </c>
      <c r="J250" s="30">
        <f>SUM($H$18:$H250)</f>
        <v>972220.08078877442</v>
      </c>
    </row>
    <row r="251" spans="1:10" x14ac:dyDescent="0.2">
      <c r="A251" s="33">
        <f>IF(Values_Entered,A250+1,"")</f>
        <v>234</v>
      </c>
      <c r="B251" s="32">
        <f t="shared" si="24"/>
        <v>48396</v>
      </c>
      <c r="C251" s="30">
        <f t="shared" si="30"/>
        <v>610776.26157214597</v>
      </c>
      <c r="D251" s="30">
        <f t="shared" si="25"/>
        <v>6354.694503075656</v>
      </c>
      <c r="E251" s="31">
        <f t="shared" si="26"/>
        <v>0</v>
      </c>
      <c r="F251" s="30">
        <f t="shared" si="27"/>
        <v>6354.694503075656</v>
      </c>
      <c r="G251" s="30">
        <f t="shared" si="28"/>
        <v>3555.3033042033203</v>
      </c>
      <c r="H251" s="30">
        <f t="shared" si="31"/>
        <v>2799.3911988723357</v>
      </c>
      <c r="I251" s="30">
        <f t="shared" si="29"/>
        <v>607220.95826794265</v>
      </c>
      <c r="J251" s="30">
        <f>SUM($H$18:$H251)</f>
        <v>975019.47198764677</v>
      </c>
    </row>
    <row r="252" spans="1:10" x14ac:dyDescent="0.2">
      <c r="A252" s="33">
        <f>IF(Values_Entered,A251+1,"")</f>
        <v>235</v>
      </c>
      <c r="B252" s="32">
        <f t="shared" si="24"/>
        <v>48426</v>
      </c>
      <c r="C252" s="30">
        <f t="shared" si="30"/>
        <v>607220.95826794265</v>
      </c>
      <c r="D252" s="30">
        <f t="shared" si="25"/>
        <v>6354.694503075656</v>
      </c>
      <c r="E252" s="31">
        <f t="shared" si="26"/>
        <v>0</v>
      </c>
      <c r="F252" s="30">
        <f t="shared" si="27"/>
        <v>6354.694503075656</v>
      </c>
      <c r="G252" s="30">
        <f t="shared" si="28"/>
        <v>3571.5984443475859</v>
      </c>
      <c r="H252" s="30">
        <f t="shared" si="31"/>
        <v>2783.0960587280701</v>
      </c>
      <c r="I252" s="30">
        <f t="shared" si="29"/>
        <v>603649.35982359503</v>
      </c>
      <c r="J252" s="30">
        <f>SUM($H$18:$H252)</f>
        <v>977802.56804637483</v>
      </c>
    </row>
    <row r="253" spans="1:10" x14ac:dyDescent="0.2">
      <c r="A253" s="33">
        <f>IF(Values_Entered,A252+1,"")</f>
        <v>236</v>
      </c>
      <c r="B253" s="32">
        <f t="shared" si="24"/>
        <v>48457</v>
      </c>
      <c r="C253" s="30">
        <f t="shared" si="30"/>
        <v>603649.35982359503</v>
      </c>
      <c r="D253" s="30">
        <f t="shared" si="25"/>
        <v>6354.694503075656</v>
      </c>
      <c r="E253" s="31">
        <f t="shared" si="26"/>
        <v>0</v>
      </c>
      <c r="F253" s="30">
        <f t="shared" si="27"/>
        <v>6354.694503075656</v>
      </c>
      <c r="G253" s="30">
        <f t="shared" si="28"/>
        <v>3587.9682705508453</v>
      </c>
      <c r="H253" s="30">
        <f t="shared" si="31"/>
        <v>2766.7262325248107</v>
      </c>
      <c r="I253" s="30">
        <f t="shared" si="29"/>
        <v>600061.3915530442</v>
      </c>
      <c r="J253" s="30">
        <f>SUM($H$18:$H253)</f>
        <v>980569.29427889967</v>
      </c>
    </row>
    <row r="254" spans="1:10" x14ac:dyDescent="0.2">
      <c r="A254" s="33">
        <f>IF(Values_Entered,A253+1,"")</f>
        <v>237</v>
      </c>
      <c r="B254" s="32">
        <f t="shared" si="24"/>
        <v>48488</v>
      </c>
      <c r="C254" s="30">
        <f t="shared" si="30"/>
        <v>600061.3915530442</v>
      </c>
      <c r="D254" s="30">
        <f t="shared" si="25"/>
        <v>6354.694503075656</v>
      </c>
      <c r="E254" s="31">
        <f t="shared" si="26"/>
        <v>0</v>
      </c>
      <c r="F254" s="30">
        <f t="shared" si="27"/>
        <v>6354.694503075656</v>
      </c>
      <c r="G254" s="30">
        <f t="shared" si="28"/>
        <v>3604.4131251242034</v>
      </c>
      <c r="H254" s="30">
        <f t="shared" si="31"/>
        <v>2750.2813779514527</v>
      </c>
      <c r="I254" s="30">
        <f t="shared" si="29"/>
        <v>596456.97842792002</v>
      </c>
      <c r="J254" s="30">
        <f>SUM($H$18:$H254)</f>
        <v>983319.57565685117</v>
      </c>
    </row>
    <row r="255" spans="1:10" x14ac:dyDescent="0.2">
      <c r="A255" s="33">
        <f>IF(Values_Entered,A254+1,"")</f>
        <v>238</v>
      </c>
      <c r="B255" s="32">
        <f t="shared" si="24"/>
        <v>48518</v>
      </c>
      <c r="C255" s="30">
        <f t="shared" si="30"/>
        <v>596456.97842792002</v>
      </c>
      <c r="D255" s="30">
        <f t="shared" si="25"/>
        <v>6354.694503075656</v>
      </c>
      <c r="E255" s="31">
        <f t="shared" si="26"/>
        <v>0</v>
      </c>
      <c r="F255" s="30">
        <f t="shared" si="27"/>
        <v>6354.694503075656</v>
      </c>
      <c r="G255" s="30">
        <f t="shared" si="28"/>
        <v>3620.9333519476895</v>
      </c>
      <c r="H255" s="30">
        <f t="shared" si="31"/>
        <v>2733.7611511279665</v>
      </c>
      <c r="I255" s="30">
        <f t="shared" si="29"/>
        <v>592836.04507597233</v>
      </c>
      <c r="J255" s="30">
        <f>SUM($H$18:$H255)</f>
        <v>986053.33680797915</v>
      </c>
    </row>
    <row r="256" spans="1:10" x14ac:dyDescent="0.2">
      <c r="A256" s="33">
        <f>IF(Values_Entered,A255+1,"")</f>
        <v>239</v>
      </c>
      <c r="B256" s="32">
        <f t="shared" si="24"/>
        <v>48549</v>
      </c>
      <c r="C256" s="30">
        <f t="shared" si="30"/>
        <v>592836.04507597233</v>
      </c>
      <c r="D256" s="30">
        <f t="shared" si="25"/>
        <v>6354.694503075656</v>
      </c>
      <c r="E256" s="31">
        <f t="shared" si="26"/>
        <v>0</v>
      </c>
      <c r="F256" s="30">
        <f t="shared" si="27"/>
        <v>6354.694503075656</v>
      </c>
      <c r="G256" s="30">
        <f t="shared" si="28"/>
        <v>3637.5292964774494</v>
      </c>
      <c r="H256" s="30">
        <f t="shared" si="31"/>
        <v>2717.1652065982066</v>
      </c>
      <c r="I256" s="30">
        <f t="shared" si="29"/>
        <v>589198.51577949489</v>
      </c>
      <c r="J256" s="30">
        <f>SUM($H$18:$H256)</f>
        <v>988770.50201457739</v>
      </c>
    </row>
    <row r="257" spans="1:10" x14ac:dyDescent="0.2">
      <c r="A257" s="33">
        <f>IF(Values_Entered,A256+1,"")</f>
        <v>240</v>
      </c>
      <c r="B257" s="32">
        <f t="shared" si="24"/>
        <v>48579</v>
      </c>
      <c r="C257" s="30">
        <f t="shared" si="30"/>
        <v>589198.51577949489</v>
      </c>
      <c r="D257" s="30">
        <f t="shared" si="25"/>
        <v>6354.694503075656</v>
      </c>
      <c r="E257" s="31">
        <f t="shared" si="26"/>
        <v>0</v>
      </c>
      <c r="F257" s="30">
        <f t="shared" si="27"/>
        <v>6354.694503075656</v>
      </c>
      <c r="G257" s="30">
        <f t="shared" si="28"/>
        <v>3654.2013057529712</v>
      </c>
      <c r="H257" s="30">
        <f t="shared" si="31"/>
        <v>2700.4931973226849</v>
      </c>
      <c r="I257" s="30">
        <f t="shared" si="29"/>
        <v>585544.31447374192</v>
      </c>
      <c r="J257" s="30">
        <f>SUM($H$18:$H257)</f>
        <v>991470.9952119001</v>
      </c>
    </row>
    <row r="258" spans="1:10" x14ac:dyDescent="0.2">
      <c r="A258" s="33">
        <f>IF(Values_Entered,A257+1,"")</f>
        <v>241</v>
      </c>
      <c r="B258" s="32">
        <f t="shared" si="24"/>
        <v>48610</v>
      </c>
      <c r="C258" s="30">
        <f t="shared" si="30"/>
        <v>585544.31447374192</v>
      </c>
      <c r="D258" s="30">
        <f t="shared" si="25"/>
        <v>6354.694503075656</v>
      </c>
      <c r="E258" s="31">
        <f t="shared" si="26"/>
        <v>0</v>
      </c>
      <c r="F258" s="30">
        <f t="shared" si="27"/>
        <v>6354.694503075656</v>
      </c>
      <c r="G258" s="30">
        <f t="shared" si="28"/>
        <v>3670.9497284043387</v>
      </c>
      <c r="H258" s="30">
        <f t="shared" si="31"/>
        <v>2683.7447746713174</v>
      </c>
      <c r="I258" s="30">
        <f t="shared" si="29"/>
        <v>581873.36474533763</v>
      </c>
      <c r="J258" s="30">
        <f>SUM($H$18:$H258)</f>
        <v>994154.73998657137</v>
      </c>
    </row>
    <row r="259" spans="1:10" x14ac:dyDescent="0.2">
      <c r="A259" s="33">
        <f>IF(Values_Entered,A258+1,"")</f>
        <v>242</v>
      </c>
      <c r="B259" s="32">
        <f t="shared" si="24"/>
        <v>48641</v>
      </c>
      <c r="C259" s="30">
        <f t="shared" si="30"/>
        <v>581873.36474533763</v>
      </c>
      <c r="D259" s="30">
        <f t="shared" si="25"/>
        <v>6354.694503075656</v>
      </c>
      <c r="E259" s="31">
        <f t="shared" si="26"/>
        <v>0</v>
      </c>
      <c r="F259" s="30">
        <f t="shared" si="27"/>
        <v>6354.694503075656</v>
      </c>
      <c r="G259" s="30">
        <f t="shared" si="28"/>
        <v>3687.7749146595252</v>
      </c>
      <c r="H259" s="30">
        <f t="shared" si="31"/>
        <v>2666.9195884161309</v>
      </c>
      <c r="I259" s="30">
        <f t="shared" si="29"/>
        <v>578185.58983067807</v>
      </c>
      <c r="J259" s="30">
        <f>SUM($H$18:$H259)</f>
        <v>996821.65957498748</v>
      </c>
    </row>
    <row r="260" spans="1:10" x14ac:dyDescent="0.2">
      <c r="A260" s="33">
        <f>IF(Values_Entered,A259+1,"")</f>
        <v>243</v>
      </c>
      <c r="B260" s="32">
        <f t="shared" si="24"/>
        <v>48669</v>
      </c>
      <c r="C260" s="30">
        <f t="shared" si="30"/>
        <v>578185.58983067807</v>
      </c>
      <c r="D260" s="30">
        <f t="shared" si="25"/>
        <v>6354.694503075656</v>
      </c>
      <c r="E260" s="31">
        <f t="shared" si="26"/>
        <v>0</v>
      </c>
      <c r="F260" s="30">
        <f t="shared" si="27"/>
        <v>6354.694503075656</v>
      </c>
      <c r="G260" s="30">
        <f t="shared" si="28"/>
        <v>3704.6772163517148</v>
      </c>
      <c r="H260" s="30">
        <f t="shared" si="31"/>
        <v>2650.0172867239412</v>
      </c>
      <c r="I260" s="30">
        <f t="shared" si="29"/>
        <v>574480.91261432634</v>
      </c>
      <c r="J260" s="30">
        <f>SUM($H$18:$H260)</f>
        <v>999471.67686171143</v>
      </c>
    </row>
    <row r="261" spans="1:10" x14ac:dyDescent="0.2">
      <c r="A261" s="33">
        <f>IF(Values_Entered,A260+1,"")</f>
        <v>244</v>
      </c>
      <c r="B261" s="32">
        <f t="shared" si="24"/>
        <v>48700</v>
      </c>
      <c r="C261" s="30">
        <f t="shared" si="30"/>
        <v>574480.91261432634</v>
      </c>
      <c r="D261" s="30">
        <f t="shared" si="25"/>
        <v>6354.694503075656</v>
      </c>
      <c r="E261" s="31">
        <f t="shared" si="26"/>
        <v>0</v>
      </c>
      <c r="F261" s="30">
        <f t="shared" si="27"/>
        <v>6354.694503075656</v>
      </c>
      <c r="G261" s="30">
        <f t="shared" si="28"/>
        <v>3721.65698692666</v>
      </c>
      <c r="H261" s="30">
        <f t="shared" si="31"/>
        <v>2633.037516148996</v>
      </c>
      <c r="I261" s="30">
        <f t="shared" si="29"/>
        <v>570759.25562739966</v>
      </c>
      <c r="J261" s="30">
        <f>SUM($H$18:$H261)</f>
        <v>1002104.7143778604</v>
      </c>
    </row>
    <row r="262" spans="1:10" x14ac:dyDescent="0.2">
      <c r="A262" s="33">
        <f>IF(Values_Entered,A261+1,"")</f>
        <v>245</v>
      </c>
      <c r="B262" s="32">
        <f t="shared" si="24"/>
        <v>48730</v>
      </c>
      <c r="C262" s="30">
        <f t="shared" si="30"/>
        <v>570759.25562739966</v>
      </c>
      <c r="D262" s="30">
        <f t="shared" si="25"/>
        <v>6354.694503075656</v>
      </c>
      <c r="E262" s="31">
        <f t="shared" si="26"/>
        <v>0</v>
      </c>
      <c r="F262" s="30">
        <f t="shared" si="27"/>
        <v>6354.694503075656</v>
      </c>
      <c r="G262" s="30">
        <f t="shared" si="28"/>
        <v>3738.7145814500741</v>
      </c>
      <c r="H262" s="30">
        <f t="shared" si="31"/>
        <v>2615.9799216255819</v>
      </c>
      <c r="I262" s="30">
        <f t="shared" si="29"/>
        <v>567020.54104594956</v>
      </c>
      <c r="J262" s="30">
        <f>SUM($H$18:$H262)</f>
        <v>1004720.694299486</v>
      </c>
    </row>
    <row r="263" spans="1:10" x14ac:dyDescent="0.2">
      <c r="A263" s="33">
        <f>IF(Values_Entered,A262+1,"")</f>
        <v>246</v>
      </c>
      <c r="B263" s="32">
        <f t="shared" si="24"/>
        <v>48761</v>
      </c>
      <c r="C263" s="30">
        <f t="shared" si="30"/>
        <v>567020.54104594956</v>
      </c>
      <c r="D263" s="30">
        <f t="shared" si="25"/>
        <v>6354.694503075656</v>
      </c>
      <c r="E263" s="31">
        <f t="shared" si="26"/>
        <v>0</v>
      </c>
      <c r="F263" s="30">
        <f t="shared" si="27"/>
        <v>6354.694503075656</v>
      </c>
      <c r="G263" s="30">
        <f t="shared" si="28"/>
        <v>3755.8503566150539</v>
      </c>
      <c r="H263" s="30">
        <f t="shared" si="31"/>
        <v>2598.8441464606021</v>
      </c>
      <c r="I263" s="30">
        <f t="shared" si="29"/>
        <v>563264.69068933453</v>
      </c>
      <c r="J263" s="30">
        <f>SUM($H$18:$H263)</f>
        <v>1007319.5384459466</v>
      </c>
    </row>
    <row r="264" spans="1:10" x14ac:dyDescent="0.2">
      <c r="A264" s="33">
        <f>IF(Values_Entered,A263+1,"")</f>
        <v>247</v>
      </c>
      <c r="B264" s="32">
        <f t="shared" si="24"/>
        <v>48791</v>
      </c>
      <c r="C264" s="30">
        <f t="shared" si="30"/>
        <v>563264.69068933453</v>
      </c>
      <c r="D264" s="30">
        <f t="shared" si="25"/>
        <v>6354.694503075656</v>
      </c>
      <c r="E264" s="31">
        <f t="shared" si="26"/>
        <v>0</v>
      </c>
      <c r="F264" s="30">
        <f t="shared" si="27"/>
        <v>6354.694503075656</v>
      </c>
      <c r="G264" s="30">
        <f t="shared" si="28"/>
        <v>3773.0646707495393</v>
      </c>
      <c r="H264" s="30">
        <f t="shared" si="31"/>
        <v>2581.6298323261167</v>
      </c>
      <c r="I264" s="30">
        <f t="shared" si="29"/>
        <v>559491.62601858494</v>
      </c>
      <c r="J264" s="30">
        <f>SUM($H$18:$H264)</f>
        <v>1009901.1682782727</v>
      </c>
    </row>
    <row r="265" spans="1:10" x14ac:dyDescent="0.2">
      <c r="A265" s="33">
        <f>IF(Values_Entered,A264+1,"")</f>
        <v>248</v>
      </c>
      <c r="B265" s="32">
        <f t="shared" si="24"/>
        <v>48822</v>
      </c>
      <c r="C265" s="30">
        <f t="shared" si="30"/>
        <v>559491.62601858494</v>
      </c>
      <c r="D265" s="30">
        <f t="shared" si="25"/>
        <v>6354.694503075656</v>
      </c>
      <c r="E265" s="31">
        <f t="shared" si="26"/>
        <v>0</v>
      </c>
      <c r="F265" s="30">
        <f t="shared" si="27"/>
        <v>6354.694503075656</v>
      </c>
      <c r="G265" s="30">
        <f t="shared" si="28"/>
        <v>3790.3578838238086</v>
      </c>
      <c r="H265" s="30">
        <f t="shared" si="31"/>
        <v>2564.3366192518474</v>
      </c>
      <c r="I265" s="30">
        <f t="shared" si="29"/>
        <v>555701.26813476114</v>
      </c>
      <c r="J265" s="30">
        <f>SUM($H$18:$H265)</f>
        <v>1012465.5048975246</v>
      </c>
    </row>
    <row r="266" spans="1:10" x14ac:dyDescent="0.2">
      <c r="A266" s="33">
        <f>IF(Values_Entered,A265+1,"")</f>
        <v>249</v>
      </c>
      <c r="B266" s="32">
        <f t="shared" si="24"/>
        <v>48853</v>
      </c>
      <c r="C266" s="30">
        <f t="shared" si="30"/>
        <v>555701.26813476114</v>
      </c>
      <c r="D266" s="30">
        <f t="shared" si="25"/>
        <v>6354.694503075656</v>
      </c>
      <c r="E266" s="31">
        <f t="shared" si="26"/>
        <v>0</v>
      </c>
      <c r="F266" s="30">
        <f t="shared" si="27"/>
        <v>6354.694503075656</v>
      </c>
      <c r="G266" s="30">
        <f t="shared" si="28"/>
        <v>3807.7303574580005</v>
      </c>
      <c r="H266" s="30">
        <f t="shared" si="31"/>
        <v>2546.9641456176555</v>
      </c>
      <c r="I266" s="30">
        <f t="shared" si="29"/>
        <v>551893.53777730314</v>
      </c>
      <c r="J266" s="30">
        <f>SUM($H$18:$H266)</f>
        <v>1015012.4690431423</v>
      </c>
    </row>
    <row r="267" spans="1:10" x14ac:dyDescent="0.2">
      <c r="A267" s="33">
        <f>IF(Values_Entered,A266+1,"")</f>
        <v>250</v>
      </c>
      <c r="B267" s="32">
        <f t="shared" si="24"/>
        <v>48883</v>
      </c>
      <c r="C267" s="30">
        <f t="shared" si="30"/>
        <v>551893.53777730314</v>
      </c>
      <c r="D267" s="30">
        <f t="shared" si="25"/>
        <v>6354.694503075656</v>
      </c>
      <c r="E267" s="31">
        <f t="shared" si="26"/>
        <v>0</v>
      </c>
      <c r="F267" s="30">
        <f t="shared" si="27"/>
        <v>6354.694503075656</v>
      </c>
      <c r="G267" s="30">
        <f t="shared" si="28"/>
        <v>3825.1824549296834</v>
      </c>
      <c r="H267" s="30">
        <f t="shared" si="31"/>
        <v>2529.5120481459726</v>
      </c>
      <c r="I267" s="30">
        <f t="shared" si="29"/>
        <v>548068.35532237345</v>
      </c>
      <c r="J267" s="30">
        <f>SUM($H$18:$H267)</f>
        <v>1017541.9810912883</v>
      </c>
    </row>
    <row r="268" spans="1:10" x14ac:dyDescent="0.2">
      <c r="A268" s="33">
        <f>IF(Values_Entered,A267+1,"")</f>
        <v>251</v>
      </c>
      <c r="B268" s="32">
        <f t="shared" si="24"/>
        <v>48914</v>
      </c>
      <c r="C268" s="30">
        <f t="shared" si="30"/>
        <v>548068.35532237345</v>
      </c>
      <c r="D268" s="30">
        <f t="shared" si="25"/>
        <v>6354.694503075656</v>
      </c>
      <c r="E268" s="31">
        <f t="shared" si="26"/>
        <v>0</v>
      </c>
      <c r="F268" s="30">
        <f t="shared" si="27"/>
        <v>6354.694503075656</v>
      </c>
      <c r="G268" s="30">
        <f t="shared" si="28"/>
        <v>3842.7145411814445</v>
      </c>
      <c r="H268" s="30">
        <f t="shared" si="31"/>
        <v>2511.9799618942116</v>
      </c>
      <c r="I268" s="30">
        <f t="shared" si="29"/>
        <v>544225.64078119199</v>
      </c>
      <c r="J268" s="30">
        <f>SUM($H$18:$H268)</f>
        <v>1020053.9610531825</v>
      </c>
    </row>
    <row r="269" spans="1:10" x14ac:dyDescent="0.2">
      <c r="A269" s="33">
        <f>IF(Values_Entered,A268+1,"")</f>
        <v>252</v>
      </c>
      <c r="B269" s="32">
        <f t="shared" si="24"/>
        <v>48944</v>
      </c>
      <c r="C269" s="30">
        <f t="shared" si="30"/>
        <v>544225.64078119199</v>
      </c>
      <c r="D269" s="30">
        <f t="shared" si="25"/>
        <v>6354.694503075656</v>
      </c>
      <c r="E269" s="31">
        <f t="shared" si="26"/>
        <v>0</v>
      </c>
      <c r="F269" s="30">
        <f t="shared" si="27"/>
        <v>6354.694503075656</v>
      </c>
      <c r="G269" s="30">
        <f t="shared" si="28"/>
        <v>3860.3269828285261</v>
      </c>
      <c r="H269" s="30">
        <f t="shared" si="31"/>
        <v>2494.36752024713</v>
      </c>
      <c r="I269" s="30">
        <f t="shared" si="29"/>
        <v>540365.31379836344</v>
      </c>
      <c r="J269" s="30">
        <f>SUM($H$18:$H269)</f>
        <v>1022548.3285734296</v>
      </c>
    </row>
    <row r="270" spans="1:10" x14ac:dyDescent="0.2">
      <c r="A270" s="33">
        <f>IF(Values_Entered,A269+1,"")</f>
        <v>253</v>
      </c>
      <c r="B270" s="32">
        <f t="shared" si="24"/>
        <v>48975</v>
      </c>
      <c r="C270" s="30">
        <f t="shared" si="30"/>
        <v>540365.31379836344</v>
      </c>
      <c r="D270" s="30">
        <f t="shared" si="25"/>
        <v>6354.694503075656</v>
      </c>
      <c r="E270" s="31">
        <f t="shared" si="26"/>
        <v>0</v>
      </c>
      <c r="F270" s="30">
        <f t="shared" si="27"/>
        <v>6354.694503075656</v>
      </c>
      <c r="G270" s="30">
        <f t="shared" si="28"/>
        <v>3878.0201481664903</v>
      </c>
      <c r="H270" s="30">
        <f t="shared" si="31"/>
        <v>2476.6743549091657</v>
      </c>
      <c r="I270" s="30">
        <f t="shared" si="29"/>
        <v>536487.29365019698</v>
      </c>
      <c r="J270" s="30">
        <f>SUM($H$18:$H270)</f>
        <v>1025025.0029283388</v>
      </c>
    </row>
    <row r="271" spans="1:10" x14ac:dyDescent="0.2">
      <c r="A271" s="33">
        <f>IF(Values_Entered,A270+1,"")</f>
        <v>254</v>
      </c>
      <c r="B271" s="32">
        <f t="shared" si="24"/>
        <v>49006</v>
      </c>
      <c r="C271" s="30">
        <f t="shared" si="30"/>
        <v>536487.29365019698</v>
      </c>
      <c r="D271" s="30">
        <f t="shared" si="25"/>
        <v>6354.694503075656</v>
      </c>
      <c r="E271" s="31">
        <f t="shared" si="26"/>
        <v>0</v>
      </c>
      <c r="F271" s="30">
        <f t="shared" si="27"/>
        <v>6354.694503075656</v>
      </c>
      <c r="G271" s="30">
        <f t="shared" si="28"/>
        <v>3895.7944071789198</v>
      </c>
      <c r="H271" s="30">
        <f t="shared" si="31"/>
        <v>2458.9000958967363</v>
      </c>
      <c r="I271" s="30">
        <f t="shared" si="29"/>
        <v>532591.4992430181</v>
      </c>
      <c r="J271" s="30">
        <f>SUM($H$18:$H271)</f>
        <v>1027483.9030242355</v>
      </c>
    </row>
    <row r="272" spans="1:10" x14ac:dyDescent="0.2">
      <c r="A272" s="33">
        <f>IF(Values_Entered,A271+1,"")</f>
        <v>255</v>
      </c>
      <c r="B272" s="32">
        <f t="shared" si="24"/>
        <v>49034</v>
      </c>
      <c r="C272" s="30">
        <f t="shared" si="30"/>
        <v>532591.4992430181</v>
      </c>
      <c r="D272" s="30">
        <f t="shared" si="25"/>
        <v>6354.694503075656</v>
      </c>
      <c r="E272" s="31">
        <f t="shared" si="26"/>
        <v>0</v>
      </c>
      <c r="F272" s="30">
        <f t="shared" si="27"/>
        <v>6354.694503075656</v>
      </c>
      <c r="G272" s="30">
        <f t="shared" si="28"/>
        <v>3913.6501315451565</v>
      </c>
      <c r="H272" s="30">
        <f t="shared" si="31"/>
        <v>2441.0443715304996</v>
      </c>
      <c r="I272" s="30">
        <f t="shared" si="29"/>
        <v>528677.84911147295</v>
      </c>
      <c r="J272" s="30">
        <f>SUM($H$18:$H272)</f>
        <v>1029924.947395766</v>
      </c>
    </row>
    <row r="273" spans="1:10" x14ac:dyDescent="0.2">
      <c r="A273" s="33">
        <f>IF(Values_Entered,A272+1,"")</f>
        <v>256</v>
      </c>
      <c r="B273" s="32">
        <f t="shared" si="24"/>
        <v>49065</v>
      </c>
      <c r="C273" s="30">
        <f t="shared" si="30"/>
        <v>528677.84911147295</v>
      </c>
      <c r="D273" s="30">
        <f t="shared" si="25"/>
        <v>6354.694503075656</v>
      </c>
      <c r="E273" s="31">
        <f t="shared" si="26"/>
        <v>0</v>
      </c>
      <c r="F273" s="30">
        <f t="shared" si="27"/>
        <v>6354.694503075656</v>
      </c>
      <c r="G273" s="30">
        <f t="shared" si="28"/>
        <v>3931.5876946480716</v>
      </c>
      <c r="H273" s="30">
        <f t="shared" si="31"/>
        <v>2423.1068084275844</v>
      </c>
      <c r="I273" s="30">
        <f t="shared" si="29"/>
        <v>524746.26141682488</v>
      </c>
      <c r="J273" s="30">
        <f>SUM($H$18:$H273)</f>
        <v>1032348.0542041936</v>
      </c>
    </row>
    <row r="274" spans="1:10" x14ac:dyDescent="0.2">
      <c r="A274" s="33">
        <f>IF(Values_Entered,A273+1,"")</f>
        <v>257</v>
      </c>
      <c r="B274" s="32">
        <f t="shared" ref="B274:B337" si="32">IF(Pay_Num&lt;&gt;"",DATE(YEAR(Loan_Start),MONTH(Loan_Start)+(Pay_Num)*12/Num_Pmt_Per_Year,DAY(Loan_Start)),"")</f>
        <v>49095</v>
      </c>
      <c r="C274" s="30">
        <f t="shared" si="30"/>
        <v>524746.26141682488</v>
      </c>
      <c r="D274" s="30">
        <f t="shared" ref="D274:D337" si="33">IF(Pay_Num&lt;&gt;"",Scheduled_Monthly_Payment,"")</f>
        <v>6354.694503075656</v>
      </c>
      <c r="E274" s="31">
        <f t="shared" ref="E274:E337" si="34">IF(AND(Pay_Num&lt;&gt;"",Sched_Pay+Scheduled_Extra_Payments&lt;Beg_Bal),Scheduled_Extra_Payments,IF(AND(Pay_Num&lt;&gt;"",Beg_Bal-Sched_Pay&gt;0),Beg_Bal-Sched_Pay,IF(Pay_Num&lt;&gt;"",0,"")))</f>
        <v>0</v>
      </c>
      <c r="F274" s="30">
        <f t="shared" ref="F274:F337" si="35">IF(AND(Pay_Num&lt;&gt;"",Sched_Pay+Extra_Pay&lt;Beg_Bal),Sched_Pay+Extra_Pay,IF(Pay_Num&lt;&gt;"",Beg_Bal,""))</f>
        <v>6354.694503075656</v>
      </c>
      <c r="G274" s="30">
        <f t="shared" ref="G274:G337" si="36">IF(Pay_Num&lt;&gt;"",Total_Pay-Int,"")</f>
        <v>3949.6074715818754</v>
      </c>
      <c r="H274" s="30">
        <f t="shared" si="31"/>
        <v>2405.0870314937806</v>
      </c>
      <c r="I274" s="30">
        <f t="shared" ref="I274:I337" si="37">IF(AND(Pay_Num&lt;&gt;"",Sched_Pay+Extra_Pay&lt;Beg_Bal),Beg_Bal-Princ,IF(Pay_Num&lt;&gt;"",0,""))</f>
        <v>520796.65394524299</v>
      </c>
      <c r="J274" s="30">
        <f>SUM($H$18:$H274)</f>
        <v>1034753.1412356874</v>
      </c>
    </row>
    <row r="275" spans="1:10" x14ac:dyDescent="0.2">
      <c r="A275" s="33">
        <f>IF(Values_Entered,A274+1,"")</f>
        <v>258</v>
      </c>
      <c r="B275" s="32">
        <f t="shared" si="32"/>
        <v>49126</v>
      </c>
      <c r="C275" s="30">
        <f t="shared" ref="C275:C338" si="38">IF(Pay_Num&lt;&gt;"",I274,"")</f>
        <v>520796.65394524299</v>
      </c>
      <c r="D275" s="30">
        <f t="shared" si="33"/>
        <v>6354.694503075656</v>
      </c>
      <c r="E275" s="31">
        <f t="shared" si="34"/>
        <v>0</v>
      </c>
      <c r="F275" s="30">
        <f t="shared" si="35"/>
        <v>6354.694503075656</v>
      </c>
      <c r="G275" s="30">
        <f t="shared" si="36"/>
        <v>3967.7098391599588</v>
      </c>
      <c r="H275" s="30">
        <f t="shared" ref="H275:H338" si="39">IF(Pay_Num&lt;&gt;"",Beg_Bal*Interest_Rate/Num_Pmt_Per_Year,"")</f>
        <v>2386.9846639156972</v>
      </c>
      <c r="I275" s="30">
        <f t="shared" si="37"/>
        <v>516828.94410608301</v>
      </c>
      <c r="J275" s="30">
        <f>SUM($H$18:$H275)</f>
        <v>1037140.1258996031</v>
      </c>
    </row>
    <row r="276" spans="1:10" x14ac:dyDescent="0.2">
      <c r="A276" s="33">
        <f>IF(Values_Entered,A275+1,"")</f>
        <v>259</v>
      </c>
      <c r="B276" s="32">
        <f t="shared" si="32"/>
        <v>49156</v>
      </c>
      <c r="C276" s="30">
        <f t="shared" si="38"/>
        <v>516828.94410608301</v>
      </c>
      <c r="D276" s="30">
        <f t="shared" si="33"/>
        <v>6354.694503075656</v>
      </c>
      <c r="E276" s="31">
        <f t="shared" si="34"/>
        <v>0</v>
      </c>
      <c r="F276" s="30">
        <f t="shared" si="35"/>
        <v>6354.694503075656</v>
      </c>
      <c r="G276" s="30">
        <f t="shared" si="36"/>
        <v>3985.8951759227753</v>
      </c>
      <c r="H276" s="30">
        <f t="shared" si="39"/>
        <v>2368.7993271528808</v>
      </c>
      <c r="I276" s="30">
        <f t="shared" si="37"/>
        <v>512843.04893016024</v>
      </c>
      <c r="J276" s="30">
        <f>SUM($H$18:$H276)</f>
        <v>1039508.925226756</v>
      </c>
    </row>
    <row r="277" spans="1:10" x14ac:dyDescent="0.2">
      <c r="A277" s="33">
        <f>IF(Values_Entered,A276+1,"")</f>
        <v>260</v>
      </c>
      <c r="B277" s="32">
        <f t="shared" si="32"/>
        <v>49187</v>
      </c>
      <c r="C277" s="30">
        <f t="shared" si="38"/>
        <v>512843.04893016024</v>
      </c>
      <c r="D277" s="30">
        <f t="shared" si="33"/>
        <v>6354.694503075656</v>
      </c>
      <c r="E277" s="31">
        <f t="shared" si="34"/>
        <v>0</v>
      </c>
      <c r="F277" s="30">
        <f t="shared" si="35"/>
        <v>6354.694503075656</v>
      </c>
      <c r="G277" s="30">
        <f t="shared" si="36"/>
        <v>4004.163862145755</v>
      </c>
      <c r="H277" s="30">
        <f t="shared" si="39"/>
        <v>2350.530640929901</v>
      </c>
      <c r="I277" s="30">
        <f t="shared" si="37"/>
        <v>508838.8850680145</v>
      </c>
      <c r="J277" s="30">
        <f>SUM($H$18:$H277)</f>
        <v>1041859.455867686</v>
      </c>
    </row>
    <row r="278" spans="1:10" x14ac:dyDescent="0.2">
      <c r="A278" s="33">
        <f>IF(Values_Entered,A277+1,"")</f>
        <v>261</v>
      </c>
      <c r="B278" s="32">
        <f t="shared" si="32"/>
        <v>49218</v>
      </c>
      <c r="C278" s="30">
        <f t="shared" si="38"/>
        <v>508838.8850680145</v>
      </c>
      <c r="D278" s="30">
        <f t="shared" si="33"/>
        <v>6354.694503075656</v>
      </c>
      <c r="E278" s="31">
        <f t="shared" si="34"/>
        <v>0</v>
      </c>
      <c r="F278" s="30">
        <f t="shared" si="35"/>
        <v>6354.694503075656</v>
      </c>
      <c r="G278" s="30">
        <f t="shared" si="36"/>
        <v>4022.5162798472561</v>
      </c>
      <c r="H278" s="30">
        <f t="shared" si="39"/>
        <v>2332.1782232283999</v>
      </c>
      <c r="I278" s="30">
        <f t="shared" si="37"/>
        <v>504816.36878816725</v>
      </c>
      <c r="J278" s="30">
        <f>SUM($H$18:$H278)</f>
        <v>1044191.6340909144</v>
      </c>
    </row>
    <row r="279" spans="1:10" x14ac:dyDescent="0.2">
      <c r="A279" s="33">
        <f>IF(Values_Entered,A278+1,"")</f>
        <v>262</v>
      </c>
      <c r="B279" s="32">
        <f t="shared" si="32"/>
        <v>49248</v>
      </c>
      <c r="C279" s="30">
        <f t="shared" si="38"/>
        <v>504816.36878816725</v>
      </c>
      <c r="D279" s="30">
        <f t="shared" si="33"/>
        <v>6354.694503075656</v>
      </c>
      <c r="E279" s="31">
        <f t="shared" si="34"/>
        <v>0</v>
      </c>
      <c r="F279" s="30">
        <f t="shared" si="35"/>
        <v>6354.694503075656</v>
      </c>
      <c r="G279" s="30">
        <f t="shared" si="36"/>
        <v>4040.9528127965564</v>
      </c>
      <c r="H279" s="30">
        <f t="shared" si="39"/>
        <v>2313.7416902790997</v>
      </c>
      <c r="I279" s="30">
        <f t="shared" si="37"/>
        <v>500775.41597537068</v>
      </c>
      <c r="J279" s="30">
        <f>SUM($H$18:$H279)</f>
        <v>1046505.3757811935</v>
      </c>
    </row>
    <row r="280" spans="1:10" x14ac:dyDescent="0.2">
      <c r="A280" s="33">
        <f>IF(Values_Entered,A279+1,"")</f>
        <v>263</v>
      </c>
      <c r="B280" s="32">
        <f t="shared" si="32"/>
        <v>49279</v>
      </c>
      <c r="C280" s="30">
        <f t="shared" si="38"/>
        <v>500775.41597537068</v>
      </c>
      <c r="D280" s="30">
        <f t="shared" si="33"/>
        <v>6354.694503075656</v>
      </c>
      <c r="E280" s="31">
        <f t="shared" si="34"/>
        <v>0</v>
      </c>
      <c r="F280" s="30">
        <f t="shared" si="35"/>
        <v>6354.694503075656</v>
      </c>
      <c r="G280" s="30">
        <f t="shared" si="36"/>
        <v>4059.4738465218738</v>
      </c>
      <c r="H280" s="30">
        <f t="shared" si="39"/>
        <v>2295.2206565537822</v>
      </c>
      <c r="I280" s="30">
        <f t="shared" si="37"/>
        <v>496715.94212884881</v>
      </c>
      <c r="J280" s="30">
        <f>SUM($H$18:$H280)</f>
        <v>1048800.5964377474</v>
      </c>
    </row>
    <row r="281" spans="1:10" x14ac:dyDescent="0.2">
      <c r="A281" s="33">
        <f>IF(Values_Entered,A280+1,"")</f>
        <v>264</v>
      </c>
      <c r="B281" s="32">
        <f t="shared" si="32"/>
        <v>49309</v>
      </c>
      <c r="C281" s="30">
        <f t="shared" si="38"/>
        <v>496715.94212884881</v>
      </c>
      <c r="D281" s="30">
        <f t="shared" si="33"/>
        <v>6354.694503075656</v>
      </c>
      <c r="E281" s="31">
        <f t="shared" si="34"/>
        <v>0</v>
      </c>
      <c r="F281" s="30">
        <f t="shared" si="35"/>
        <v>6354.694503075656</v>
      </c>
      <c r="G281" s="30">
        <f t="shared" si="36"/>
        <v>4078.0797683184323</v>
      </c>
      <c r="H281" s="30">
        <f t="shared" si="39"/>
        <v>2276.6147347572237</v>
      </c>
      <c r="I281" s="30">
        <f t="shared" si="37"/>
        <v>492637.86236053036</v>
      </c>
      <c r="J281" s="30">
        <f>SUM($H$18:$H281)</f>
        <v>1051077.2111725046</v>
      </c>
    </row>
    <row r="282" spans="1:10" x14ac:dyDescent="0.2">
      <c r="A282" s="33">
        <f>IF(Values_Entered,A281+1,"")</f>
        <v>265</v>
      </c>
      <c r="B282" s="32">
        <f t="shared" si="32"/>
        <v>49340</v>
      </c>
      <c r="C282" s="30">
        <f t="shared" si="38"/>
        <v>492637.86236053036</v>
      </c>
      <c r="D282" s="30">
        <f t="shared" si="33"/>
        <v>6354.694503075656</v>
      </c>
      <c r="E282" s="31">
        <f t="shared" si="34"/>
        <v>0</v>
      </c>
      <c r="F282" s="30">
        <f t="shared" si="35"/>
        <v>6354.694503075656</v>
      </c>
      <c r="G282" s="30">
        <f t="shared" si="36"/>
        <v>4096.7709672565579</v>
      </c>
      <c r="H282" s="30">
        <f t="shared" si="39"/>
        <v>2257.9235358190977</v>
      </c>
      <c r="I282" s="30">
        <f t="shared" si="37"/>
        <v>488541.09139327379</v>
      </c>
      <c r="J282" s="30">
        <f>SUM($H$18:$H282)</f>
        <v>1053335.1347083237</v>
      </c>
    </row>
    <row r="283" spans="1:10" x14ac:dyDescent="0.2">
      <c r="A283" s="33">
        <f>IF(Values_Entered,A282+1,"")</f>
        <v>266</v>
      </c>
      <c r="B283" s="32">
        <f t="shared" si="32"/>
        <v>49371</v>
      </c>
      <c r="C283" s="30">
        <f t="shared" si="38"/>
        <v>488541.09139327379</v>
      </c>
      <c r="D283" s="30">
        <f t="shared" si="33"/>
        <v>6354.694503075656</v>
      </c>
      <c r="E283" s="31">
        <f t="shared" si="34"/>
        <v>0</v>
      </c>
      <c r="F283" s="30">
        <f t="shared" si="35"/>
        <v>6354.694503075656</v>
      </c>
      <c r="G283" s="30">
        <f t="shared" si="36"/>
        <v>4115.5478341898179</v>
      </c>
      <c r="H283" s="30">
        <f t="shared" si="39"/>
        <v>2239.1466688858382</v>
      </c>
      <c r="I283" s="30">
        <f t="shared" si="37"/>
        <v>484425.54355908395</v>
      </c>
      <c r="J283" s="30">
        <f>SUM($H$18:$H283)</f>
        <v>1055574.2813772096</v>
      </c>
    </row>
    <row r="284" spans="1:10" x14ac:dyDescent="0.2">
      <c r="A284" s="33">
        <f>IF(Values_Entered,A283+1,"")</f>
        <v>267</v>
      </c>
      <c r="B284" s="32">
        <f t="shared" si="32"/>
        <v>49399</v>
      </c>
      <c r="C284" s="30">
        <f t="shared" si="38"/>
        <v>484425.54355908395</v>
      </c>
      <c r="D284" s="30">
        <f t="shared" si="33"/>
        <v>6354.694503075656</v>
      </c>
      <c r="E284" s="31">
        <f t="shared" si="34"/>
        <v>0</v>
      </c>
      <c r="F284" s="30">
        <f t="shared" si="35"/>
        <v>6354.694503075656</v>
      </c>
      <c r="G284" s="30">
        <f t="shared" si="36"/>
        <v>4134.410761763188</v>
      </c>
      <c r="H284" s="30">
        <f t="shared" si="39"/>
        <v>2220.283741312468</v>
      </c>
      <c r="I284" s="30">
        <f t="shared" si="37"/>
        <v>480291.13279732078</v>
      </c>
      <c r="J284" s="30">
        <f>SUM($H$18:$H284)</f>
        <v>1057794.5651185222</v>
      </c>
    </row>
    <row r="285" spans="1:10" x14ac:dyDescent="0.2">
      <c r="A285" s="33">
        <f>IF(Values_Entered,A284+1,"")</f>
        <v>268</v>
      </c>
      <c r="B285" s="32">
        <f t="shared" si="32"/>
        <v>49430</v>
      </c>
      <c r="C285" s="30">
        <f t="shared" si="38"/>
        <v>480291.13279732078</v>
      </c>
      <c r="D285" s="30">
        <f t="shared" si="33"/>
        <v>6354.694503075656</v>
      </c>
      <c r="E285" s="31">
        <f t="shared" si="34"/>
        <v>0</v>
      </c>
      <c r="F285" s="30">
        <f t="shared" si="35"/>
        <v>6354.694503075656</v>
      </c>
      <c r="G285" s="30">
        <f t="shared" si="36"/>
        <v>4153.3601444212691</v>
      </c>
      <c r="H285" s="30">
        <f t="shared" si="39"/>
        <v>2201.334358654387</v>
      </c>
      <c r="I285" s="30">
        <f t="shared" si="37"/>
        <v>476137.7726528995</v>
      </c>
      <c r="J285" s="30">
        <f>SUM($H$18:$H285)</f>
        <v>1059995.8994771766</v>
      </c>
    </row>
    <row r="286" spans="1:10" x14ac:dyDescent="0.2">
      <c r="A286" s="33">
        <f>IF(Values_Entered,A285+1,"")</f>
        <v>269</v>
      </c>
      <c r="B286" s="32">
        <f t="shared" si="32"/>
        <v>49460</v>
      </c>
      <c r="C286" s="30">
        <f t="shared" si="38"/>
        <v>476137.7726528995</v>
      </c>
      <c r="D286" s="30">
        <f t="shared" si="33"/>
        <v>6354.694503075656</v>
      </c>
      <c r="E286" s="31">
        <f t="shared" si="34"/>
        <v>0</v>
      </c>
      <c r="F286" s="30">
        <f t="shared" si="35"/>
        <v>6354.694503075656</v>
      </c>
      <c r="G286" s="30">
        <f t="shared" si="36"/>
        <v>4172.3963784165335</v>
      </c>
      <c r="H286" s="30">
        <f t="shared" si="39"/>
        <v>2182.298124659123</v>
      </c>
      <c r="I286" s="30">
        <f t="shared" si="37"/>
        <v>471965.37627448299</v>
      </c>
      <c r="J286" s="30">
        <f>SUM($H$18:$H286)</f>
        <v>1062178.1976018357</v>
      </c>
    </row>
    <row r="287" spans="1:10" x14ac:dyDescent="0.2">
      <c r="A287" s="33">
        <f>IF(Values_Entered,A286+1,"")</f>
        <v>270</v>
      </c>
      <c r="B287" s="32">
        <f t="shared" si="32"/>
        <v>49491</v>
      </c>
      <c r="C287" s="30">
        <f t="shared" si="38"/>
        <v>471965.37627448299</v>
      </c>
      <c r="D287" s="30">
        <f t="shared" si="33"/>
        <v>6354.694503075656</v>
      </c>
      <c r="E287" s="31">
        <f t="shared" si="34"/>
        <v>0</v>
      </c>
      <c r="F287" s="30">
        <f t="shared" si="35"/>
        <v>6354.694503075656</v>
      </c>
      <c r="G287" s="30">
        <f t="shared" si="36"/>
        <v>4191.5198618176091</v>
      </c>
      <c r="H287" s="30">
        <f t="shared" si="39"/>
        <v>2163.1746412580469</v>
      </c>
      <c r="I287" s="30">
        <f t="shared" si="37"/>
        <v>467773.85641266539</v>
      </c>
      <c r="J287" s="30">
        <f>SUM($H$18:$H287)</f>
        <v>1064341.3722430938</v>
      </c>
    </row>
    <row r="288" spans="1:10" x14ac:dyDescent="0.2">
      <c r="A288" s="33">
        <f>IF(Values_Entered,A287+1,"")</f>
        <v>271</v>
      </c>
      <c r="B288" s="32">
        <f t="shared" si="32"/>
        <v>49521</v>
      </c>
      <c r="C288" s="30">
        <f t="shared" si="38"/>
        <v>467773.85641266539</v>
      </c>
      <c r="D288" s="30">
        <f t="shared" si="33"/>
        <v>6354.694503075656</v>
      </c>
      <c r="E288" s="31">
        <f t="shared" si="34"/>
        <v>0</v>
      </c>
      <c r="F288" s="30">
        <f t="shared" si="35"/>
        <v>6354.694503075656</v>
      </c>
      <c r="G288" s="30">
        <f t="shared" si="36"/>
        <v>4210.7309945176057</v>
      </c>
      <c r="H288" s="30">
        <f t="shared" si="39"/>
        <v>2143.9635085580499</v>
      </c>
      <c r="I288" s="30">
        <f t="shared" si="37"/>
        <v>463563.12541814777</v>
      </c>
      <c r="J288" s="30">
        <f>SUM($H$18:$H288)</f>
        <v>1066485.3357516518</v>
      </c>
    </row>
    <row r="289" spans="1:10" x14ac:dyDescent="0.2">
      <c r="A289" s="33">
        <f>IF(Values_Entered,A288+1,"")</f>
        <v>272</v>
      </c>
      <c r="B289" s="32">
        <f t="shared" si="32"/>
        <v>49552</v>
      </c>
      <c r="C289" s="30">
        <f t="shared" si="38"/>
        <v>463563.12541814777</v>
      </c>
      <c r="D289" s="30">
        <f t="shared" si="33"/>
        <v>6354.694503075656</v>
      </c>
      <c r="E289" s="31">
        <f t="shared" si="34"/>
        <v>0</v>
      </c>
      <c r="F289" s="30">
        <f t="shared" si="35"/>
        <v>6354.694503075656</v>
      </c>
      <c r="G289" s="30">
        <f t="shared" si="36"/>
        <v>4230.0301782424795</v>
      </c>
      <c r="H289" s="30">
        <f t="shared" si="39"/>
        <v>2124.664324833177</v>
      </c>
      <c r="I289" s="30">
        <f t="shared" si="37"/>
        <v>459333.09523990529</v>
      </c>
      <c r="J289" s="30">
        <f>SUM($H$18:$H289)</f>
        <v>1068610.0000764849</v>
      </c>
    </row>
    <row r="290" spans="1:10" x14ac:dyDescent="0.2">
      <c r="A290" s="33">
        <f>IF(Values_Entered,A289+1,"")</f>
        <v>273</v>
      </c>
      <c r="B290" s="32">
        <f t="shared" si="32"/>
        <v>49583</v>
      </c>
      <c r="C290" s="30">
        <f t="shared" si="38"/>
        <v>459333.09523990529</v>
      </c>
      <c r="D290" s="30">
        <f t="shared" si="33"/>
        <v>6354.694503075656</v>
      </c>
      <c r="E290" s="31">
        <f t="shared" si="34"/>
        <v>0</v>
      </c>
      <c r="F290" s="30">
        <f t="shared" si="35"/>
        <v>6354.694503075656</v>
      </c>
      <c r="G290" s="30">
        <f t="shared" si="36"/>
        <v>4249.417816559424</v>
      </c>
      <c r="H290" s="30">
        <f t="shared" si="39"/>
        <v>2105.2766865162325</v>
      </c>
      <c r="I290" s="30">
        <f t="shared" si="37"/>
        <v>455083.67742334586</v>
      </c>
      <c r="J290" s="30">
        <f>SUM($H$18:$H290)</f>
        <v>1070715.276763001</v>
      </c>
    </row>
    <row r="291" spans="1:10" x14ac:dyDescent="0.2">
      <c r="A291" s="33">
        <f>IF(Values_Entered,A290+1,"")</f>
        <v>274</v>
      </c>
      <c r="B291" s="32">
        <f t="shared" si="32"/>
        <v>49613</v>
      </c>
      <c r="C291" s="30">
        <f t="shared" si="38"/>
        <v>455083.67742334586</v>
      </c>
      <c r="D291" s="30">
        <f t="shared" si="33"/>
        <v>6354.694503075656</v>
      </c>
      <c r="E291" s="31">
        <f t="shared" si="34"/>
        <v>0</v>
      </c>
      <c r="F291" s="30">
        <f t="shared" si="35"/>
        <v>6354.694503075656</v>
      </c>
      <c r="G291" s="30">
        <f t="shared" si="36"/>
        <v>4268.8943148853214</v>
      </c>
      <c r="H291" s="30">
        <f t="shared" si="39"/>
        <v>2085.8001881903351</v>
      </c>
      <c r="I291" s="30">
        <f t="shared" si="37"/>
        <v>450814.78310846054</v>
      </c>
      <c r="J291" s="30">
        <f>SUM($H$18:$H291)</f>
        <v>1072801.0769511913</v>
      </c>
    </row>
    <row r="292" spans="1:10" x14ac:dyDescent="0.2">
      <c r="A292" s="33">
        <f>IF(Values_Entered,A291+1,"")</f>
        <v>275</v>
      </c>
      <c r="B292" s="32">
        <f t="shared" si="32"/>
        <v>49644</v>
      </c>
      <c r="C292" s="30">
        <f t="shared" si="38"/>
        <v>450814.78310846054</v>
      </c>
      <c r="D292" s="30">
        <f t="shared" si="33"/>
        <v>6354.694503075656</v>
      </c>
      <c r="E292" s="31">
        <f t="shared" si="34"/>
        <v>0</v>
      </c>
      <c r="F292" s="30">
        <f t="shared" si="35"/>
        <v>6354.694503075656</v>
      </c>
      <c r="G292" s="30">
        <f t="shared" si="36"/>
        <v>4288.4600804952115</v>
      </c>
      <c r="H292" s="30">
        <f t="shared" si="39"/>
        <v>2066.2344225804441</v>
      </c>
      <c r="I292" s="30">
        <f t="shared" si="37"/>
        <v>446526.32302796532</v>
      </c>
      <c r="J292" s="30">
        <f>SUM($H$18:$H292)</f>
        <v>1074867.3113737716</v>
      </c>
    </row>
    <row r="293" spans="1:10" x14ac:dyDescent="0.2">
      <c r="A293" s="33">
        <f>IF(Values_Entered,A292+1,"")</f>
        <v>276</v>
      </c>
      <c r="B293" s="32">
        <f t="shared" si="32"/>
        <v>49674</v>
      </c>
      <c r="C293" s="30">
        <f t="shared" si="38"/>
        <v>446526.32302796532</v>
      </c>
      <c r="D293" s="30">
        <f t="shared" si="33"/>
        <v>6354.694503075656</v>
      </c>
      <c r="E293" s="31">
        <f t="shared" si="34"/>
        <v>0</v>
      </c>
      <c r="F293" s="30">
        <f t="shared" si="35"/>
        <v>6354.694503075656</v>
      </c>
      <c r="G293" s="30">
        <f t="shared" si="36"/>
        <v>4308.1155225308148</v>
      </c>
      <c r="H293" s="30">
        <f t="shared" si="39"/>
        <v>2046.5789805448412</v>
      </c>
      <c r="I293" s="30">
        <f t="shared" si="37"/>
        <v>442218.20750543452</v>
      </c>
      <c r="J293" s="30">
        <f>SUM($H$18:$H293)</f>
        <v>1076913.8903543164</v>
      </c>
    </row>
    <row r="294" spans="1:10" x14ac:dyDescent="0.2">
      <c r="A294" s="33">
        <f>IF(Values_Entered,A293+1,"")</f>
        <v>277</v>
      </c>
      <c r="B294" s="32">
        <f t="shared" si="32"/>
        <v>49705</v>
      </c>
      <c r="C294" s="30">
        <f t="shared" si="38"/>
        <v>442218.20750543452</v>
      </c>
      <c r="D294" s="30">
        <f t="shared" si="33"/>
        <v>6354.694503075656</v>
      </c>
      <c r="E294" s="31">
        <f t="shared" si="34"/>
        <v>0</v>
      </c>
      <c r="F294" s="30">
        <f t="shared" si="35"/>
        <v>6354.694503075656</v>
      </c>
      <c r="G294" s="30">
        <f t="shared" si="36"/>
        <v>4327.8610520090815</v>
      </c>
      <c r="H294" s="30">
        <f t="shared" si="39"/>
        <v>2026.8334510665748</v>
      </c>
      <c r="I294" s="30">
        <f t="shared" si="37"/>
        <v>437890.34645342542</v>
      </c>
      <c r="J294" s="30">
        <f>SUM($H$18:$H294)</f>
        <v>1078940.7238053831</v>
      </c>
    </row>
    <row r="295" spans="1:10" x14ac:dyDescent="0.2">
      <c r="A295" s="33">
        <f>IF(Values_Entered,A294+1,"")</f>
        <v>278</v>
      </c>
      <c r="B295" s="32">
        <f t="shared" si="32"/>
        <v>49736</v>
      </c>
      <c r="C295" s="30">
        <f t="shared" si="38"/>
        <v>437890.34645342542</v>
      </c>
      <c r="D295" s="30">
        <f t="shared" si="33"/>
        <v>6354.694503075656</v>
      </c>
      <c r="E295" s="31">
        <f t="shared" si="34"/>
        <v>0</v>
      </c>
      <c r="F295" s="30">
        <f t="shared" si="35"/>
        <v>6354.694503075656</v>
      </c>
      <c r="G295" s="30">
        <f t="shared" si="36"/>
        <v>4347.6970818307891</v>
      </c>
      <c r="H295" s="30">
        <f t="shared" si="39"/>
        <v>2006.9974212448667</v>
      </c>
      <c r="I295" s="30">
        <f t="shared" si="37"/>
        <v>433542.64937159466</v>
      </c>
      <c r="J295" s="30">
        <f>SUM($H$18:$H295)</f>
        <v>1080947.7212266279</v>
      </c>
    </row>
    <row r="296" spans="1:10" x14ac:dyDescent="0.2">
      <c r="A296" s="33">
        <f>IF(Values_Entered,A295+1,"")</f>
        <v>279</v>
      </c>
      <c r="B296" s="32">
        <f t="shared" si="32"/>
        <v>49765</v>
      </c>
      <c r="C296" s="30">
        <f t="shared" si="38"/>
        <v>433542.64937159466</v>
      </c>
      <c r="D296" s="30">
        <f t="shared" si="33"/>
        <v>6354.694503075656</v>
      </c>
      <c r="E296" s="31">
        <f t="shared" si="34"/>
        <v>0</v>
      </c>
      <c r="F296" s="30">
        <f t="shared" si="35"/>
        <v>6354.694503075656</v>
      </c>
      <c r="G296" s="30">
        <f t="shared" si="36"/>
        <v>4367.6240267891808</v>
      </c>
      <c r="H296" s="30">
        <f t="shared" si="39"/>
        <v>1987.0704762864755</v>
      </c>
      <c r="I296" s="30">
        <f t="shared" si="37"/>
        <v>429175.0253448055</v>
      </c>
      <c r="J296" s="30">
        <f>SUM($H$18:$H296)</f>
        <v>1082934.7917029145</v>
      </c>
    </row>
    <row r="297" spans="1:10" x14ac:dyDescent="0.2">
      <c r="A297" s="33">
        <f>IF(Values_Entered,A296+1,"")</f>
        <v>280</v>
      </c>
      <c r="B297" s="32">
        <f t="shared" si="32"/>
        <v>49796</v>
      </c>
      <c r="C297" s="30">
        <f t="shared" si="38"/>
        <v>429175.0253448055</v>
      </c>
      <c r="D297" s="30">
        <f t="shared" si="33"/>
        <v>6354.694503075656</v>
      </c>
      <c r="E297" s="31">
        <f t="shared" si="34"/>
        <v>0</v>
      </c>
      <c r="F297" s="30">
        <f t="shared" si="35"/>
        <v>6354.694503075656</v>
      </c>
      <c r="G297" s="30">
        <f t="shared" si="36"/>
        <v>4387.6423035786311</v>
      </c>
      <c r="H297" s="30">
        <f t="shared" si="39"/>
        <v>1967.0521994970252</v>
      </c>
      <c r="I297" s="30">
        <f t="shared" si="37"/>
        <v>424787.38304122689</v>
      </c>
      <c r="J297" s="30">
        <f>SUM($H$18:$H297)</f>
        <v>1084901.8439024116</v>
      </c>
    </row>
    <row r="298" spans="1:10" x14ac:dyDescent="0.2">
      <c r="A298" s="33">
        <f>IF(Values_Entered,A297+1,"")</f>
        <v>281</v>
      </c>
      <c r="B298" s="32">
        <f t="shared" si="32"/>
        <v>49826</v>
      </c>
      <c r="C298" s="30">
        <f t="shared" si="38"/>
        <v>424787.38304122689</v>
      </c>
      <c r="D298" s="30">
        <f t="shared" si="33"/>
        <v>6354.694503075656</v>
      </c>
      <c r="E298" s="31">
        <f t="shared" si="34"/>
        <v>0</v>
      </c>
      <c r="F298" s="30">
        <f t="shared" si="35"/>
        <v>6354.694503075656</v>
      </c>
      <c r="G298" s="30">
        <f t="shared" si="36"/>
        <v>4407.752330803366</v>
      </c>
      <c r="H298" s="30">
        <f t="shared" si="39"/>
        <v>1946.94217227229</v>
      </c>
      <c r="I298" s="30">
        <f t="shared" si="37"/>
        <v>420379.63071042352</v>
      </c>
      <c r="J298" s="30">
        <f>SUM($H$18:$H298)</f>
        <v>1086848.786074684</v>
      </c>
    </row>
    <row r="299" spans="1:10" x14ac:dyDescent="0.2">
      <c r="A299" s="33">
        <f>IF(Values_Entered,A298+1,"")</f>
        <v>282</v>
      </c>
      <c r="B299" s="32">
        <f t="shared" si="32"/>
        <v>49857</v>
      </c>
      <c r="C299" s="30">
        <f t="shared" si="38"/>
        <v>420379.63071042352</v>
      </c>
      <c r="D299" s="30">
        <f t="shared" si="33"/>
        <v>6354.694503075656</v>
      </c>
      <c r="E299" s="31">
        <f t="shared" si="34"/>
        <v>0</v>
      </c>
      <c r="F299" s="30">
        <f t="shared" si="35"/>
        <v>6354.694503075656</v>
      </c>
      <c r="G299" s="30">
        <f t="shared" si="36"/>
        <v>4427.9545289862153</v>
      </c>
      <c r="H299" s="30">
        <f t="shared" si="39"/>
        <v>1926.7399740894409</v>
      </c>
      <c r="I299" s="30">
        <f t="shared" si="37"/>
        <v>415951.67618143727</v>
      </c>
      <c r="J299" s="30">
        <f>SUM($H$18:$H299)</f>
        <v>1088775.5260487734</v>
      </c>
    </row>
    <row r="300" spans="1:10" x14ac:dyDescent="0.2">
      <c r="A300" s="33">
        <f>IF(Values_Entered,A299+1,"")</f>
        <v>283</v>
      </c>
      <c r="B300" s="32">
        <f t="shared" si="32"/>
        <v>49887</v>
      </c>
      <c r="C300" s="30">
        <f t="shared" si="38"/>
        <v>415951.67618143727</v>
      </c>
      <c r="D300" s="30">
        <f t="shared" si="33"/>
        <v>6354.694503075656</v>
      </c>
      <c r="E300" s="31">
        <f t="shared" si="34"/>
        <v>0</v>
      </c>
      <c r="F300" s="30">
        <f t="shared" si="35"/>
        <v>6354.694503075656</v>
      </c>
      <c r="G300" s="30">
        <f t="shared" si="36"/>
        <v>4448.2493205774017</v>
      </c>
      <c r="H300" s="30">
        <f t="shared" si="39"/>
        <v>1906.4451824982543</v>
      </c>
      <c r="I300" s="30">
        <f t="shared" si="37"/>
        <v>411503.42686085985</v>
      </c>
      <c r="J300" s="30">
        <f>SUM($H$18:$H300)</f>
        <v>1090681.9712312717</v>
      </c>
    </row>
    <row r="301" spans="1:10" x14ac:dyDescent="0.2">
      <c r="A301" s="33">
        <f>IF(Values_Entered,A300+1,"")</f>
        <v>284</v>
      </c>
      <c r="B301" s="32">
        <f t="shared" si="32"/>
        <v>49918</v>
      </c>
      <c r="C301" s="30">
        <f t="shared" si="38"/>
        <v>411503.42686085985</v>
      </c>
      <c r="D301" s="30">
        <f t="shared" si="33"/>
        <v>6354.694503075656</v>
      </c>
      <c r="E301" s="31">
        <f t="shared" si="34"/>
        <v>0</v>
      </c>
      <c r="F301" s="30">
        <f t="shared" si="35"/>
        <v>6354.694503075656</v>
      </c>
      <c r="G301" s="30">
        <f t="shared" si="36"/>
        <v>4468.637129963382</v>
      </c>
      <c r="H301" s="30">
        <f t="shared" si="39"/>
        <v>1886.0573731122743</v>
      </c>
      <c r="I301" s="30">
        <f t="shared" si="37"/>
        <v>407034.78973089647</v>
      </c>
      <c r="J301" s="30">
        <f>SUM($H$18:$H301)</f>
        <v>1092568.028604384</v>
      </c>
    </row>
    <row r="302" spans="1:10" x14ac:dyDescent="0.2">
      <c r="A302" s="33">
        <f>IF(Values_Entered,A301+1,"")</f>
        <v>285</v>
      </c>
      <c r="B302" s="32">
        <f t="shared" si="32"/>
        <v>49949</v>
      </c>
      <c r="C302" s="30">
        <f t="shared" si="38"/>
        <v>407034.78973089647</v>
      </c>
      <c r="D302" s="30">
        <f t="shared" si="33"/>
        <v>6354.694503075656</v>
      </c>
      <c r="E302" s="31">
        <f t="shared" si="34"/>
        <v>0</v>
      </c>
      <c r="F302" s="30">
        <f t="shared" si="35"/>
        <v>6354.694503075656</v>
      </c>
      <c r="G302" s="30">
        <f t="shared" si="36"/>
        <v>4489.1183834757139</v>
      </c>
      <c r="H302" s="30">
        <f t="shared" si="39"/>
        <v>1865.5761195999421</v>
      </c>
      <c r="I302" s="30">
        <f t="shared" si="37"/>
        <v>402545.67134742078</v>
      </c>
      <c r="J302" s="30">
        <f>SUM($H$18:$H302)</f>
        <v>1094433.6047239839</v>
      </c>
    </row>
    <row r="303" spans="1:10" x14ac:dyDescent="0.2">
      <c r="A303" s="33">
        <f>IF(Values_Entered,A302+1,"")</f>
        <v>286</v>
      </c>
      <c r="B303" s="32">
        <f t="shared" si="32"/>
        <v>49979</v>
      </c>
      <c r="C303" s="30">
        <f t="shared" si="38"/>
        <v>402545.67134742078</v>
      </c>
      <c r="D303" s="30">
        <f t="shared" si="33"/>
        <v>6354.694503075656</v>
      </c>
      <c r="E303" s="31">
        <f t="shared" si="34"/>
        <v>0</v>
      </c>
      <c r="F303" s="30">
        <f t="shared" si="35"/>
        <v>6354.694503075656</v>
      </c>
      <c r="G303" s="30">
        <f t="shared" si="36"/>
        <v>4509.6935093999773</v>
      </c>
      <c r="H303" s="30">
        <f t="shared" si="39"/>
        <v>1845.0009936756787</v>
      </c>
      <c r="I303" s="30">
        <f t="shared" si="37"/>
        <v>398035.97783802083</v>
      </c>
      <c r="J303" s="30">
        <f>SUM($H$18:$H303)</f>
        <v>1096278.6057176597</v>
      </c>
    </row>
    <row r="304" spans="1:10" x14ac:dyDescent="0.2">
      <c r="A304" s="33">
        <f>IF(Values_Entered,A303+1,"")</f>
        <v>287</v>
      </c>
      <c r="B304" s="32">
        <f t="shared" si="32"/>
        <v>50010</v>
      </c>
      <c r="C304" s="30">
        <f t="shared" si="38"/>
        <v>398035.97783802083</v>
      </c>
      <c r="D304" s="30">
        <f t="shared" si="33"/>
        <v>6354.694503075656</v>
      </c>
      <c r="E304" s="31">
        <f t="shared" si="34"/>
        <v>0</v>
      </c>
      <c r="F304" s="30">
        <f t="shared" si="35"/>
        <v>6354.694503075656</v>
      </c>
      <c r="G304" s="30">
        <f t="shared" si="36"/>
        <v>4530.3629379847271</v>
      </c>
      <c r="H304" s="30">
        <f t="shared" si="39"/>
        <v>1824.331565090929</v>
      </c>
      <c r="I304" s="30">
        <f t="shared" si="37"/>
        <v>393505.61490003607</v>
      </c>
      <c r="J304" s="30">
        <f>SUM($H$18:$H304)</f>
        <v>1098102.9372827506</v>
      </c>
    </row>
    <row r="305" spans="1:10" x14ac:dyDescent="0.2">
      <c r="A305" s="33">
        <f>IF(Values_Entered,A304+1,"")</f>
        <v>288</v>
      </c>
      <c r="B305" s="32">
        <f t="shared" si="32"/>
        <v>50040</v>
      </c>
      <c r="C305" s="30">
        <f t="shared" si="38"/>
        <v>393505.61490003607</v>
      </c>
      <c r="D305" s="30">
        <f t="shared" si="33"/>
        <v>6354.694503075656</v>
      </c>
      <c r="E305" s="31">
        <f t="shared" si="34"/>
        <v>0</v>
      </c>
      <c r="F305" s="30">
        <f t="shared" si="35"/>
        <v>6354.694503075656</v>
      </c>
      <c r="G305" s="30">
        <f t="shared" si="36"/>
        <v>4551.127101450491</v>
      </c>
      <c r="H305" s="30">
        <f t="shared" si="39"/>
        <v>1803.5674016251653</v>
      </c>
      <c r="I305" s="30">
        <f t="shared" si="37"/>
        <v>388954.48779858556</v>
      </c>
      <c r="J305" s="30">
        <f>SUM($H$18:$H305)</f>
        <v>1099906.5046843758</v>
      </c>
    </row>
    <row r="306" spans="1:10" x14ac:dyDescent="0.2">
      <c r="A306" s="33">
        <f>IF(Values_Entered,A305+1,"")</f>
        <v>289</v>
      </c>
      <c r="B306" s="32">
        <f t="shared" si="32"/>
        <v>50071</v>
      </c>
      <c r="C306" s="30">
        <f t="shared" si="38"/>
        <v>388954.48779858556</v>
      </c>
      <c r="D306" s="30">
        <f t="shared" si="33"/>
        <v>6354.694503075656</v>
      </c>
      <c r="E306" s="31">
        <f t="shared" si="34"/>
        <v>0</v>
      </c>
      <c r="F306" s="30">
        <f t="shared" si="35"/>
        <v>6354.694503075656</v>
      </c>
      <c r="G306" s="30">
        <f t="shared" si="36"/>
        <v>4571.9864339988053</v>
      </c>
      <c r="H306" s="30">
        <f t="shared" si="39"/>
        <v>1782.7080690768505</v>
      </c>
      <c r="I306" s="30">
        <f t="shared" si="37"/>
        <v>384382.50136458676</v>
      </c>
      <c r="J306" s="30">
        <f>SUM($H$18:$H306)</f>
        <v>1101689.2127534526</v>
      </c>
    </row>
    <row r="307" spans="1:10" x14ac:dyDescent="0.2">
      <c r="A307" s="33">
        <f>IF(Values_Entered,A306+1,"")</f>
        <v>290</v>
      </c>
      <c r="B307" s="32">
        <f t="shared" si="32"/>
        <v>50102</v>
      </c>
      <c r="C307" s="30">
        <f t="shared" si="38"/>
        <v>384382.50136458676</v>
      </c>
      <c r="D307" s="30">
        <f t="shared" si="33"/>
        <v>6354.694503075656</v>
      </c>
      <c r="E307" s="31">
        <f t="shared" si="34"/>
        <v>0</v>
      </c>
      <c r="F307" s="30">
        <f t="shared" si="35"/>
        <v>6354.694503075656</v>
      </c>
      <c r="G307" s="30">
        <f t="shared" si="36"/>
        <v>4592.9413718213</v>
      </c>
      <c r="H307" s="30">
        <f t="shared" si="39"/>
        <v>1761.753131254356</v>
      </c>
      <c r="I307" s="30">
        <f t="shared" si="37"/>
        <v>379789.55999276548</v>
      </c>
      <c r="J307" s="30">
        <f>SUM($H$18:$H307)</f>
        <v>1103450.9658847069</v>
      </c>
    </row>
    <row r="308" spans="1:10" x14ac:dyDescent="0.2">
      <c r="A308" s="33">
        <f>IF(Values_Entered,A307+1,"")</f>
        <v>291</v>
      </c>
      <c r="B308" s="32">
        <f t="shared" si="32"/>
        <v>50130</v>
      </c>
      <c r="C308" s="30">
        <f t="shared" si="38"/>
        <v>379789.55999276548</v>
      </c>
      <c r="D308" s="30">
        <f t="shared" si="33"/>
        <v>6354.694503075656</v>
      </c>
      <c r="E308" s="31">
        <f t="shared" si="34"/>
        <v>0</v>
      </c>
      <c r="F308" s="30">
        <f t="shared" si="35"/>
        <v>6354.694503075656</v>
      </c>
      <c r="G308" s="30">
        <f t="shared" si="36"/>
        <v>4613.9923531088143</v>
      </c>
      <c r="H308" s="30">
        <f t="shared" si="39"/>
        <v>1740.7021499668417</v>
      </c>
      <c r="I308" s="30">
        <f t="shared" si="37"/>
        <v>375175.56763965666</v>
      </c>
      <c r="J308" s="30">
        <f>SUM($H$18:$H308)</f>
        <v>1105191.6680346737</v>
      </c>
    </row>
    <row r="309" spans="1:10" x14ac:dyDescent="0.2">
      <c r="A309" s="33">
        <f>IF(Values_Entered,A308+1,"")</f>
        <v>292</v>
      </c>
      <c r="B309" s="32">
        <f t="shared" si="32"/>
        <v>50161</v>
      </c>
      <c r="C309" s="30">
        <f t="shared" si="38"/>
        <v>375175.56763965666</v>
      </c>
      <c r="D309" s="30">
        <f t="shared" si="33"/>
        <v>6354.694503075656</v>
      </c>
      <c r="E309" s="31">
        <f t="shared" si="34"/>
        <v>0</v>
      </c>
      <c r="F309" s="30">
        <f t="shared" si="35"/>
        <v>6354.694503075656</v>
      </c>
      <c r="G309" s="30">
        <f t="shared" si="36"/>
        <v>4635.1398180605629</v>
      </c>
      <c r="H309" s="30">
        <f t="shared" si="39"/>
        <v>1719.5546850150931</v>
      </c>
      <c r="I309" s="30">
        <f t="shared" si="37"/>
        <v>370540.42782159609</v>
      </c>
      <c r="J309" s="30">
        <f>SUM($H$18:$H309)</f>
        <v>1106911.2227196887</v>
      </c>
    </row>
    <row r="310" spans="1:10" x14ac:dyDescent="0.2">
      <c r="A310" s="33">
        <f>IF(Values_Entered,A309+1,"")</f>
        <v>293</v>
      </c>
      <c r="B310" s="32">
        <f t="shared" si="32"/>
        <v>50191</v>
      </c>
      <c r="C310" s="30">
        <f t="shared" si="38"/>
        <v>370540.42782159609</v>
      </c>
      <c r="D310" s="30">
        <f t="shared" si="33"/>
        <v>6354.694503075656</v>
      </c>
      <c r="E310" s="31">
        <f t="shared" si="34"/>
        <v>0</v>
      </c>
      <c r="F310" s="30">
        <f t="shared" si="35"/>
        <v>6354.694503075656</v>
      </c>
      <c r="G310" s="30">
        <f t="shared" si="36"/>
        <v>4656.3842088933407</v>
      </c>
      <c r="H310" s="30">
        <f t="shared" si="39"/>
        <v>1698.3102941823154</v>
      </c>
      <c r="I310" s="30">
        <f t="shared" si="37"/>
        <v>365884.04361270275</v>
      </c>
      <c r="J310" s="30">
        <f>SUM($H$18:$H310)</f>
        <v>1108609.5330138709</v>
      </c>
    </row>
    <row r="311" spans="1:10" x14ac:dyDescent="0.2">
      <c r="A311" s="33">
        <f>IF(Values_Entered,A310+1,"")</f>
        <v>294</v>
      </c>
      <c r="B311" s="32">
        <f t="shared" si="32"/>
        <v>50222</v>
      </c>
      <c r="C311" s="30">
        <f t="shared" si="38"/>
        <v>365884.04361270275</v>
      </c>
      <c r="D311" s="30">
        <f t="shared" si="33"/>
        <v>6354.694503075656</v>
      </c>
      <c r="E311" s="31">
        <f t="shared" si="34"/>
        <v>0</v>
      </c>
      <c r="F311" s="30">
        <f t="shared" si="35"/>
        <v>6354.694503075656</v>
      </c>
      <c r="G311" s="30">
        <f t="shared" si="36"/>
        <v>4677.7259698507687</v>
      </c>
      <c r="H311" s="30">
        <f t="shared" si="39"/>
        <v>1676.9685332248876</v>
      </c>
      <c r="I311" s="30">
        <f t="shared" si="37"/>
        <v>361206.31764285197</v>
      </c>
      <c r="J311" s="30">
        <f>SUM($H$18:$H311)</f>
        <v>1110286.5015470958</v>
      </c>
    </row>
    <row r="312" spans="1:10" x14ac:dyDescent="0.2">
      <c r="A312" s="33">
        <f>IF(Values_Entered,A311+1,"")</f>
        <v>295</v>
      </c>
      <c r="B312" s="32">
        <f t="shared" si="32"/>
        <v>50252</v>
      </c>
      <c r="C312" s="30">
        <f t="shared" si="38"/>
        <v>361206.31764285197</v>
      </c>
      <c r="D312" s="30">
        <f t="shared" si="33"/>
        <v>6354.694503075656</v>
      </c>
      <c r="E312" s="31">
        <f t="shared" si="34"/>
        <v>0</v>
      </c>
      <c r="F312" s="30">
        <f t="shared" si="35"/>
        <v>6354.694503075656</v>
      </c>
      <c r="G312" s="30">
        <f t="shared" si="36"/>
        <v>4699.1655472125849</v>
      </c>
      <c r="H312" s="30">
        <f t="shared" si="39"/>
        <v>1655.5289558630714</v>
      </c>
      <c r="I312" s="30">
        <f t="shared" si="37"/>
        <v>356507.15209563938</v>
      </c>
      <c r="J312" s="30">
        <f>SUM($H$18:$H312)</f>
        <v>1111942.0305029589</v>
      </c>
    </row>
    <row r="313" spans="1:10" x14ac:dyDescent="0.2">
      <c r="A313" s="33">
        <f>IF(Values_Entered,A312+1,"")</f>
        <v>296</v>
      </c>
      <c r="B313" s="32">
        <f t="shared" si="32"/>
        <v>50283</v>
      </c>
      <c r="C313" s="30">
        <f t="shared" si="38"/>
        <v>356507.15209563938</v>
      </c>
      <c r="D313" s="30">
        <f t="shared" si="33"/>
        <v>6354.694503075656</v>
      </c>
      <c r="E313" s="31">
        <f t="shared" si="34"/>
        <v>0</v>
      </c>
      <c r="F313" s="30">
        <f t="shared" si="35"/>
        <v>6354.694503075656</v>
      </c>
      <c r="G313" s="30">
        <f t="shared" si="36"/>
        <v>4720.7033893039752</v>
      </c>
      <c r="H313" s="30">
        <f t="shared" si="39"/>
        <v>1633.9911137716806</v>
      </c>
      <c r="I313" s="30">
        <f t="shared" si="37"/>
        <v>351786.44870633539</v>
      </c>
      <c r="J313" s="30">
        <f>SUM($H$18:$H313)</f>
        <v>1113576.0216167306</v>
      </c>
    </row>
    <row r="314" spans="1:10" x14ac:dyDescent="0.2">
      <c r="A314" s="33">
        <f>IF(Values_Entered,A313+1,"")</f>
        <v>297</v>
      </c>
      <c r="B314" s="32">
        <f t="shared" si="32"/>
        <v>50314</v>
      </c>
      <c r="C314" s="30">
        <f t="shared" si="38"/>
        <v>351786.44870633539</v>
      </c>
      <c r="D314" s="30">
        <f t="shared" si="33"/>
        <v>6354.694503075656</v>
      </c>
      <c r="E314" s="31">
        <f t="shared" si="34"/>
        <v>0</v>
      </c>
      <c r="F314" s="30">
        <f t="shared" si="35"/>
        <v>6354.694503075656</v>
      </c>
      <c r="G314" s="30">
        <f t="shared" si="36"/>
        <v>4742.3399465049524</v>
      </c>
      <c r="H314" s="30">
        <f t="shared" si="39"/>
        <v>1612.3545565707038</v>
      </c>
      <c r="I314" s="30">
        <f t="shared" si="37"/>
        <v>347044.10875983041</v>
      </c>
      <c r="J314" s="30">
        <f>SUM($H$18:$H314)</f>
        <v>1115188.3761733014</v>
      </c>
    </row>
    <row r="315" spans="1:10" x14ac:dyDescent="0.2">
      <c r="A315" s="33">
        <f>IF(Values_Entered,A314+1,"")</f>
        <v>298</v>
      </c>
      <c r="B315" s="32">
        <f t="shared" si="32"/>
        <v>50344</v>
      </c>
      <c r="C315" s="30">
        <f t="shared" si="38"/>
        <v>347044.10875983041</v>
      </c>
      <c r="D315" s="30">
        <f t="shared" si="33"/>
        <v>6354.694503075656</v>
      </c>
      <c r="E315" s="31">
        <f t="shared" si="34"/>
        <v>0</v>
      </c>
      <c r="F315" s="30">
        <f t="shared" si="35"/>
        <v>6354.694503075656</v>
      </c>
      <c r="G315" s="30">
        <f t="shared" si="36"/>
        <v>4764.0756712597668</v>
      </c>
      <c r="H315" s="30">
        <f t="shared" si="39"/>
        <v>1590.6188318158893</v>
      </c>
      <c r="I315" s="30">
        <f t="shared" si="37"/>
        <v>342280.03308857064</v>
      </c>
      <c r="J315" s="30">
        <f>SUM($H$18:$H315)</f>
        <v>1116778.9950051173</v>
      </c>
    </row>
    <row r="316" spans="1:10" x14ac:dyDescent="0.2">
      <c r="A316" s="33">
        <f>IF(Values_Entered,A315+1,"")</f>
        <v>299</v>
      </c>
      <c r="B316" s="32">
        <f t="shared" si="32"/>
        <v>50375</v>
      </c>
      <c r="C316" s="30">
        <f t="shared" si="38"/>
        <v>342280.03308857064</v>
      </c>
      <c r="D316" s="30">
        <f t="shared" si="33"/>
        <v>6354.694503075656</v>
      </c>
      <c r="E316" s="31">
        <f t="shared" si="34"/>
        <v>0</v>
      </c>
      <c r="F316" s="30">
        <f t="shared" si="35"/>
        <v>6354.694503075656</v>
      </c>
      <c r="G316" s="30">
        <f t="shared" si="36"/>
        <v>4785.9110180863736</v>
      </c>
      <c r="H316" s="30">
        <f t="shared" si="39"/>
        <v>1568.7834849892822</v>
      </c>
      <c r="I316" s="30">
        <f t="shared" si="37"/>
        <v>337494.12207048427</v>
      </c>
      <c r="J316" s="30">
        <f>SUM($H$18:$H316)</f>
        <v>1118347.7784901066</v>
      </c>
    </row>
    <row r="317" spans="1:10" x14ac:dyDescent="0.2">
      <c r="A317" s="33">
        <f>IF(Values_Entered,A316+1,"")</f>
        <v>300</v>
      </c>
      <c r="B317" s="32">
        <f t="shared" si="32"/>
        <v>50405</v>
      </c>
      <c r="C317" s="30">
        <f t="shared" si="38"/>
        <v>337494.12207048427</v>
      </c>
      <c r="D317" s="30">
        <f t="shared" si="33"/>
        <v>6354.694503075656</v>
      </c>
      <c r="E317" s="31">
        <f t="shared" si="34"/>
        <v>0</v>
      </c>
      <c r="F317" s="30">
        <f t="shared" si="35"/>
        <v>6354.694503075656</v>
      </c>
      <c r="G317" s="30">
        <f t="shared" si="36"/>
        <v>4807.8464435859369</v>
      </c>
      <c r="H317" s="30">
        <f t="shared" si="39"/>
        <v>1546.8480594897194</v>
      </c>
      <c r="I317" s="30">
        <f t="shared" si="37"/>
        <v>332686.27562689834</v>
      </c>
      <c r="J317" s="30">
        <f>SUM($H$18:$H317)</f>
        <v>1119894.6265495962</v>
      </c>
    </row>
    <row r="318" spans="1:10" x14ac:dyDescent="0.2">
      <c r="A318" s="33">
        <f>IF(Values_Entered,A317+1,"")</f>
        <v>301</v>
      </c>
      <c r="B318" s="32">
        <f t="shared" si="32"/>
        <v>50436</v>
      </c>
      <c r="C318" s="30">
        <f t="shared" si="38"/>
        <v>332686.27562689834</v>
      </c>
      <c r="D318" s="30">
        <f t="shared" si="33"/>
        <v>6354.694503075656</v>
      </c>
      <c r="E318" s="31">
        <f t="shared" si="34"/>
        <v>0</v>
      </c>
      <c r="F318" s="30">
        <f t="shared" si="35"/>
        <v>6354.694503075656</v>
      </c>
      <c r="G318" s="30">
        <f t="shared" si="36"/>
        <v>4829.8824064523724</v>
      </c>
      <c r="H318" s="30">
        <f t="shared" si="39"/>
        <v>1524.8120966232839</v>
      </c>
      <c r="I318" s="30">
        <f t="shared" si="37"/>
        <v>327856.39322044596</v>
      </c>
      <c r="J318" s="30">
        <f>SUM($H$18:$H318)</f>
        <v>1121419.4386462194</v>
      </c>
    </row>
    <row r="319" spans="1:10" x14ac:dyDescent="0.2">
      <c r="A319" s="33">
        <f>IF(Values_Entered,A318+1,"")</f>
        <v>302</v>
      </c>
      <c r="B319" s="32">
        <f t="shared" si="32"/>
        <v>50467</v>
      </c>
      <c r="C319" s="30">
        <f t="shared" si="38"/>
        <v>327856.39322044596</v>
      </c>
      <c r="D319" s="30">
        <f t="shared" si="33"/>
        <v>6354.694503075656</v>
      </c>
      <c r="E319" s="31">
        <f t="shared" si="34"/>
        <v>0</v>
      </c>
      <c r="F319" s="30">
        <f t="shared" si="35"/>
        <v>6354.694503075656</v>
      </c>
      <c r="G319" s="30">
        <f t="shared" si="36"/>
        <v>4852.0193674819457</v>
      </c>
      <c r="H319" s="30">
        <f t="shared" si="39"/>
        <v>1502.6751355937106</v>
      </c>
      <c r="I319" s="30">
        <f t="shared" si="37"/>
        <v>323004.37385296402</v>
      </c>
      <c r="J319" s="30">
        <f>SUM($H$18:$H319)</f>
        <v>1122922.1137818131</v>
      </c>
    </row>
    <row r="320" spans="1:10" x14ac:dyDescent="0.2">
      <c r="A320" s="33">
        <f>IF(Values_Entered,A319+1,"")</f>
        <v>303</v>
      </c>
      <c r="B320" s="32">
        <f t="shared" si="32"/>
        <v>50495</v>
      </c>
      <c r="C320" s="30">
        <f t="shared" si="38"/>
        <v>323004.37385296402</v>
      </c>
      <c r="D320" s="30">
        <f t="shared" si="33"/>
        <v>6354.694503075656</v>
      </c>
      <c r="E320" s="31">
        <f t="shared" si="34"/>
        <v>0</v>
      </c>
      <c r="F320" s="30">
        <f t="shared" si="35"/>
        <v>6354.694503075656</v>
      </c>
      <c r="G320" s="30">
        <f t="shared" si="36"/>
        <v>4874.2577895829045</v>
      </c>
      <c r="H320" s="30">
        <f t="shared" si="39"/>
        <v>1480.4367134927518</v>
      </c>
      <c r="I320" s="30">
        <f t="shared" si="37"/>
        <v>318130.11606338114</v>
      </c>
      <c r="J320" s="30">
        <f>SUM($H$18:$H320)</f>
        <v>1124402.5504953058</v>
      </c>
    </row>
    <row r="321" spans="1:10" x14ac:dyDescent="0.2">
      <c r="A321" s="33">
        <f>IF(Values_Entered,A320+1,"")</f>
        <v>304</v>
      </c>
      <c r="B321" s="32">
        <f t="shared" si="32"/>
        <v>50526</v>
      </c>
      <c r="C321" s="30">
        <f t="shared" si="38"/>
        <v>318130.11606338114</v>
      </c>
      <c r="D321" s="30">
        <f t="shared" si="33"/>
        <v>6354.694503075656</v>
      </c>
      <c r="E321" s="31">
        <f t="shared" si="34"/>
        <v>0</v>
      </c>
      <c r="F321" s="30">
        <f t="shared" si="35"/>
        <v>6354.694503075656</v>
      </c>
      <c r="G321" s="30">
        <f t="shared" si="36"/>
        <v>4896.5981377851595</v>
      </c>
      <c r="H321" s="30">
        <f t="shared" si="39"/>
        <v>1458.0963652904968</v>
      </c>
      <c r="I321" s="30">
        <f t="shared" si="37"/>
        <v>313233.51792559598</v>
      </c>
      <c r="J321" s="30">
        <f>SUM($H$18:$H321)</f>
        <v>1125860.6468605963</v>
      </c>
    </row>
    <row r="322" spans="1:10" x14ac:dyDescent="0.2">
      <c r="A322" s="33">
        <f>IF(Values_Entered,A321+1,"")</f>
        <v>305</v>
      </c>
      <c r="B322" s="32">
        <f t="shared" si="32"/>
        <v>50556</v>
      </c>
      <c r="C322" s="30">
        <f t="shared" si="38"/>
        <v>313233.51792559598</v>
      </c>
      <c r="D322" s="30">
        <f t="shared" si="33"/>
        <v>6354.694503075656</v>
      </c>
      <c r="E322" s="31">
        <f t="shared" si="34"/>
        <v>0</v>
      </c>
      <c r="F322" s="30">
        <f t="shared" si="35"/>
        <v>6354.694503075656</v>
      </c>
      <c r="G322" s="30">
        <f t="shared" si="36"/>
        <v>4919.0408792500075</v>
      </c>
      <c r="H322" s="30">
        <f t="shared" si="39"/>
        <v>1435.6536238256483</v>
      </c>
      <c r="I322" s="30">
        <f t="shared" si="37"/>
        <v>308314.477046346</v>
      </c>
      <c r="J322" s="30">
        <f>SUM($H$18:$H322)</f>
        <v>1127296.3004844219</v>
      </c>
    </row>
    <row r="323" spans="1:10" x14ac:dyDescent="0.2">
      <c r="A323" s="33">
        <f>IF(Values_Entered,A322+1,"")</f>
        <v>306</v>
      </c>
      <c r="B323" s="32">
        <f t="shared" si="32"/>
        <v>50587</v>
      </c>
      <c r="C323" s="30">
        <f t="shared" si="38"/>
        <v>308314.477046346</v>
      </c>
      <c r="D323" s="30">
        <f t="shared" si="33"/>
        <v>6354.694503075656</v>
      </c>
      <c r="E323" s="31">
        <f t="shared" si="34"/>
        <v>0</v>
      </c>
      <c r="F323" s="30">
        <f t="shared" si="35"/>
        <v>6354.694503075656</v>
      </c>
      <c r="G323" s="30">
        <f t="shared" si="36"/>
        <v>4941.5864832799034</v>
      </c>
      <c r="H323" s="30">
        <f t="shared" si="39"/>
        <v>1413.1080197957526</v>
      </c>
      <c r="I323" s="30">
        <f t="shared" si="37"/>
        <v>303372.89056306612</v>
      </c>
      <c r="J323" s="30">
        <f>SUM($H$18:$H323)</f>
        <v>1128709.4085042176</v>
      </c>
    </row>
    <row r="324" spans="1:10" x14ac:dyDescent="0.2">
      <c r="A324" s="33">
        <f>IF(Values_Entered,A323+1,"")</f>
        <v>307</v>
      </c>
      <c r="B324" s="32">
        <f t="shared" si="32"/>
        <v>50617</v>
      </c>
      <c r="C324" s="30">
        <f t="shared" si="38"/>
        <v>303372.89056306612</v>
      </c>
      <c r="D324" s="30">
        <f t="shared" si="33"/>
        <v>6354.694503075656</v>
      </c>
      <c r="E324" s="31">
        <f t="shared" si="34"/>
        <v>0</v>
      </c>
      <c r="F324" s="30">
        <f t="shared" si="35"/>
        <v>6354.694503075656</v>
      </c>
      <c r="G324" s="30">
        <f t="shared" si="36"/>
        <v>4964.2354213282697</v>
      </c>
      <c r="H324" s="30">
        <f t="shared" si="39"/>
        <v>1390.4590817473863</v>
      </c>
      <c r="I324" s="30">
        <f t="shared" si="37"/>
        <v>298408.65514173784</v>
      </c>
      <c r="J324" s="30">
        <f>SUM($H$18:$H324)</f>
        <v>1130099.867585965</v>
      </c>
    </row>
    <row r="325" spans="1:10" x14ac:dyDescent="0.2">
      <c r="A325" s="33">
        <f>IF(Values_Entered,A324+1,"")</f>
        <v>308</v>
      </c>
      <c r="B325" s="32">
        <f t="shared" si="32"/>
        <v>50648</v>
      </c>
      <c r="C325" s="30">
        <f t="shared" si="38"/>
        <v>298408.65514173784</v>
      </c>
      <c r="D325" s="30">
        <f t="shared" si="33"/>
        <v>6354.694503075656</v>
      </c>
      <c r="E325" s="31">
        <f t="shared" si="34"/>
        <v>0</v>
      </c>
      <c r="F325" s="30">
        <f t="shared" si="35"/>
        <v>6354.694503075656</v>
      </c>
      <c r="G325" s="30">
        <f t="shared" si="36"/>
        <v>4986.9881670093573</v>
      </c>
      <c r="H325" s="30">
        <f t="shared" si="39"/>
        <v>1367.7063360662985</v>
      </c>
      <c r="I325" s="30">
        <f t="shared" si="37"/>
        <v>293421.66697472846</v>
      </c>
      <c r="J325" s="30">
        <f>SUM($H$18:$H325)</f>
        <v>1131467.5739220313</v>
      </c>
    </row>
    <row r="326" spans="1:10" x14ac:dyDescent="0.2">
      <c r="A326" s="33">
        <f>IF(Values_Entered,A325+1,"")</f>
        <v>309</v>
      </c>
      <c r="B326" s="32">
        <f t="shared" si="32"/>
        <v>50679</v>
      </c>
      <c r="C326" s="30">
        <f t="shared" si="38"/>
        <v>293421.66697472846</v>
      </c>
      <c r="D326" s="30">
        <f t="shared" si="33"/>
        <v>6354.694503075656</v>
      </c>
      <c r="E326" s="31">
        <f t="shared" si="34"/>
        <v>0</v>
      </c>
      <c r="F326" s="30">
        <f t="shared" si="35"/>
        <v>6354.694503075656</v>
      </c>
      <c r="G326" s="30">
        <f t="shared" si="36"/>
        <v>5009.84519610815</v>
      </c>
      <c r="H326" s="30">
        <f t="shared" si="39"/>
        <v>1344.8493069675055</v>
      </c>
      <c r="I326" s="30">
        <f t="shared" si="37"/>
        <v>288411.8217786203</v>
      </c>
      <c r="J326" s="30">
        <f>SUM($H$18:$H326)</f>
        <v>1132812.4232289989</v>
      </c>
    </row>
    <row r="327" spans="1:10" x14ac:dyDescent="0.2">
      <c r="A327" s="33">
        <f>IF(Values_Entered,A326+1,"")</f>
        <v>310</v>
      </c>
      <c r="B327" s="32">
        <f t="shared" si="32"/>
        <v>50709</v>
      </c>
      <c r="C327" s="30">
        <f t="shared" si="38"/>
        <v>288411.8217786203</v>
      </c>
      <c r="D327" s="30">
        <f t="shared" si="33"/>
        <v>6354.694503075656</v>
      </c>
      <c r="E327" s="31">
        <f t="shared" si="34"/>
        <v>0</v>
      </c>
      <c r="F327" s="30">
        <f t="shared" si="35"/>
        <v>6354.694503075656</v>
      </c>
      <c r="G327" s="30">
        <f t="shared" si="36"/>
        <v>5032.8069865903126</v>
      </c>
      <c r="H327" s="30">
        <f t="shared" si="39"/>
        <v>1321.887516485343</v>
      </c>
      <c r="I327" s="30">
        <f t="shared" si="37"/>
        <v>283379.01479202998</v>
      </c>
      <c r="J327" s="30">
        <f>SUM($H$18:$H327)</f>
        <v>1134134.3107454842</v>
      </c>
    </row>
    <row r="328" spans="1:10" x14ac:dyDescent="0.2">
      <c r="A328" s="33">
        <f>IF(Values_Entered,A327+1,"")</f>
        <v>311</v>
      </c>
      <c r="B328" s="32">
        <f t="shared" si="32"/>
        <v>50740</v>
      </c>
      <c r="C328" s="30">
        <f t="shared" si="38"/>
        <v>283379.01479202998</v>
      </c>
      <c r="D328" s="30">
        <f t="shared" si="33"/>
        <v>6354.694503075656</v>
      </c>
      <c r="E328" s="31">
        <f t="shared" si="34"/>
        <v>0</v>
      </c>
      <c r="F328" s="30">
        <f t="shared" si="35"/>
        <v>6354.694503075656</v>
      </c>
      <c r="G328" s="30">
        <f t="shared" si="36"/>
        <v>5055.874018612185</v>
      </c>
      <c r="H328" s="30">
        <f t="shared" si="39"/>
        <v>1298.8204844634708</v>
      </c>
      <c r="I328" s="30">
        <f t="shared" si="37"/>
        <v>278323.14077341778</v>
      </c>
      <c r="J328" s="30">
        <f>SUM($H$18:$H328)</f>
        <v>1135433.1312299476</v>
      </c>
    </row>
    <row r="329" spans="1:10" x14ac:dyDescent="0.2">
      <c r="A329" s="33">
        <f>IF(Values_Entered,A328+1,"")</f>
        <v>312</v>
      </c>
      <c r="B329" s="32">
        <f t="shared" si="32"/>
        <v>50770</v>
      </c>
      <c r="C329" s="30">
        <f t="shared" si="38"/>
        <v>278323.14077341778</v>
      </c>
      <c r="D329" s="30">
        <f t="shared" si="33"/>
        <v>6354.694503075656</v>
      </c>
      <c r="E329" s="31">
        <f t="shared" si="34"/>
        <v>0</v>
      </c>
      <c r="F329" s="30">
        <f t="shared" si="35"/>
        <v>6354.694503075656</v>
      </c>
      <c r="G329" s="30">
        <f t="shared" si="36"/>
        <v>5079.0467745308242</v>
      </c>
      <c r="H329" s="30">
        <f t="shared" si="39"/>
        <v>1275.6477285448316</v>
      </c>
      <c r="I329" s="30">
        <f t="shared" si="37"/>
        <v>273244.09399888694</v>
      </c>
      <c r="J329" s="30">
        <f>SUM($H$18:$H329)</f>
        <v>1136708.7789584924</v>
      </c>
    </row>
    <row r="330" spans="1:10" x14ac:dyDescent="0.2">
      <c r="A330" s="33">
        <f>IF(Values_Entered,A329+1,"")</f>
        <v>313</v>
      </c>
      <c r="B330" s="32">
        <f t="shared" si="32"/>
        <v>50801</v>
      </c>
      <c r="C330" s="30">
        <f t="shared" si="38"/>
        <v>273244.09399888694</v>
      </c>
      <c r="D330" s="30">
        <f t="shared" si="33"/>
        <v>6354.694503075656</v>
      </c>
      <c r="E330" s="31">
        <f t="shared" si="34"/>
        <v>0</v>
      </c>
      <c r="F330" s="30">
        <f t="shared" si="35"/>
        <v>6354.694503075656</v>
      </c>
      <c r="G330" s="30">
        <f t="shared" si="36"/>
        <v>5102.3257389140908</v>
      </c>
      <c r="H330" s="30">
        <f t="shared" si="39"/>
        <v>1252.3687641615652</v>
      </c>
      <c r="I330" s="30">
        <f t="shared" si="37"/>
        <v>268141.76825997286</v>
      </c>
      <c r="J330" s="30">
        <f>SUM($H$18:$H330)</f>
        <v>1137961.147722654</v>
      </c>
    </row>
    <row r="331" spans="1:10" x14ac:dyDescent="0.2">
      <c r="A331" s="33">
        <f>IF(Values_Entered,A330+1,"")</f>
        <v>314</v>
      </c>
      <c r="B331" s="32">
        <f t="shared" si="32"/>
        <v>50832</v>
      </c>
      <c r="C331" s="30">
        <f t="shared" si="38"/>
        <v>268141.76825997286</v>
      </c>
      <c r="D331" s="30">
        <f t="shared" si="33"/>
        <v>6354.694503075656</v>
      </c>
      <c r="E331" s="31">
        <f t="shared" si="34"/>
        <v>0</v>
      </c>
      <c r="F331" s="30">
        <f t="shared" si="35"/>
        <v>6354.694503075656</v>
      </c>
      <c r="G331" s="30">
        <f t="shared" si="36"/>
        <v>5125.7113985507804</v>
      </c>
      <c r="H331" s="30">
        <f t="shared" si="39"/>
        <v>1228.9831045248757</v>
      </c>
      <c r="I331" s="30">
        <f t="shared" si="37"/>
        <v>263016.05686142208</v>
      </c>
      <c r="J331" s="30">
        <f>SUM($H$18:$H331)</f>
        <v>1139190.1308271789</v>
      </c>
    </row>
    <row r="332" spans="1:10" x14ac:dyDescent="0.2">
      <c r="A332" s="33">
        <f>IF(Values_Entered,A331+1,"")</f>
        <v>315</v>
      </c>
      <c r="B332" s="32">
        <f t="shared" si="32"/>
        <v>50860</v>
      </c>
      <c r="C332" s="30">
        <f t="shared" si="38"/>
        <v>263016.05686142208</v>
      </c>
      <c r="D332" s="30">
        <f t="shared" si="33"/>
        <v>6354.694503075656</v>
      </c>
      <c r="E332" s="31">
        <f t="shared" si="34"/>
        <v>0</v>
      </c>
      <c r="F332" s="30">
        <f t="shared" si="35"/>
        <v>6354.694503075656</v>
      </c>
      <c r="G332" s="30">
        <f t="shared" si="36"/>
        <v>5149.2042424608044</v>
      </c>
      <c r="H332" s="30">
        <f t="shared" si="39"/>
        <v>1205.4902606148512</v>
      </c>
      <c r="I332" s="30">
        <f t="shared" si="37"/>
        <v>257866.85261896127</v>
      </c>
      <c r="J332" s="30">
        <f>SUM($H$18:$H332)</f>
        <v>1140395.6210877937</v>
      </c>
    </row>
    <row r="333" spans="1:10" x14ac:dyDescent="0.2">
      <c r="A333" s="33">
        <f>IF(Values_Entered,A332+1,"")</f>
        <v>316</v>
      </c>
      <c r="B333" s="32">
        <f t="shared" si="32"/>
        <v>50891</v>
      </c>
      <c r="C333" s="30">
        <f t="shared" si="38"/>
        <v>257866.85261896127</v>
      </c>
      <c r="D333" s="30">
        <f t="shared" si="33"/>
        <v>6354.694503075656</v>
      </c>
      <c r="E333" s="31">
        <f t="shared" si="34"/>
        <v>0</v>
      </c>
      <c r="F333" s="30">
        <f t="shared" si="35"/>
        <v>6354.694503075656</v>
      </c>
      <c r="G333" s="30">
        <f t="shared" si="36"/>
        <v>5172.8047619054169</v>
      </c>
      <c r="H333" s="30">
        <f t="shared" si="39"/>
        <v>1181.8897411702392</v>
      </c>
      <c r="I333" s="30">
        <f t="shared" si="37"/>
        <v>252694.04785705585</v>
      </c>
      <c r="J333" s="30">
        <f>SUM($H$18:$H333)</f>
        <v>1141577.5108289639</v>
      </c>
    </row>
    <row r="334" spans="1:10" x14ac:dyDescent="0.2">
      <c r="A334" s="33">
        <f>IF(Values_Entered,A333+1,"")</f>
        <v>317</v>
      </c>
      <c r="B334" s="32">
        <f t="shared" si="32"/>
        <v>50921</v>
      </c>
      <c r="C334" s="30">
        <f t="shared" si="38"/>
        <v>252694.04785705585</v>
      </c>
      <c r="D334" s="30">
        <f t="shared" si="33"/>
        <v>6354.694503075656</v>
      </c>
      <c r="E334" s="31">
        <f t="shared" si="34"/>
        <v>0</v>
      </c>
      <c r="F334" s="30">
        <f t="shared" si="35"/>
        <v>6354.694503075656</v>
      </c>
      <c r="G334" s="30">
        <f t="shared" si="36"/>
        <v>5196.5134503974832</v>
      </c>
      <c r="H334" s="30">
        <f t="shared" si="39"/>
        <v>1158.1810526781726</v>
      </c>
      <c r="I334" s="30">
        <f t="shared" si="37"/>
        <v>247497.53440665838</v>
      </c>
      <c r="J334" s="30">
        <f>SUM($H$18:$H334)</f>
        <v>1142735.6918816422</v>
      </c>
    </row>
    <row r="335" spans="1:10" x14ac:dyDescent="0.2">
      <c r="A335" s="33">
        <f>IF(Values_Entered,A334+1,"")</f>
        <v>318</v>
      </c>
      <c r="B335" s="32">
        <f t="shared" si="32"/>
        <v>50952</v>
      </c>
      <c r="C335" s="30">
        <f t="shared" si="38"/>
        <v>247497.53440665838</v>
      </c>
      <c r="D335" s="30">
        <f t="shared" si="33"/>
        <v>6354.694503075656</v>
      </c>
      <c r="E335" s="31">
        <f t="shared" si="34"/>
        <v>0</v>
      </c>
      <c r="F335" s="30">
        <f t="shared" si="35"/>
        <v>6354.694503075656</v>
      </c>
      <c r="G335" s="30">
        <f t="shared" si="36"/>
        <v>5220.3308037118049</v>
      </c>
      <c r="H335" s="30">
        <f t="shared" si="39"/>
        <v>1134.3636993638509</v>
      </c>
      <c r="I335" s="30">
        <f t="shared" si="37"/>
        <v>242277.20360294657</v>
      </c>
      <c r="J335" s="30">
        <f>SUM($H$18:$H335)</f>
        <v>1143870.055581006</v>
      </c>
    </row>
    <row r="336" spans="1:10" x14ac:dyDescent="0.2">
      <c r="A336" s="33">
        <f>IF(Values_Entered,A335+1,"")</f>
        <v>319</v>
      </c>
      <c r="B336" s="32">
        <f t="shared" si="32"/>
        <v>50982</v>
      </c>
      <c r="C336" s="30">
        <f t="shared" si="38"/>
        <v>242277.20360294657</v>
      </c>
      <c r="D336" s="30">
        <f t="shared" si="33"/>
        <v>6354.694503075656</v>
      </c>
      <c r="E336" s="31">
        <f t="shared" si="34"/>
        <v>0</v>
      </c>
      <c r="F336" s="30">
        <f t="shared" si="35"/>
        <v>6354.694503075656</v>
      </c>
      <c r="G336" s="30">
        <f t="shared" si="36"/>
        <v>5244.2573198954842</v>
      </c>
      <c r="H336" s="30">
        <f t="shared" si="39"/>
        <v>1110.4371831801718</v>
      </c>
      <c r="I336" s="30">
        <f t="shared" si="37"/>
        <v>237032.94628305107</v>
      </c>
      <c r="J336" s="30">
        <f>SUM($H$18:$H336)</f>
        <v>1144980.4927641861</v>
      </c>
    </row>
    <row r="337" spans="1:10" x14ac:dyDescent="0.2">
      <c r="A337" s="33">
        <f>IF(Values_Entered,A336+1,"")</f>
        <v>320</v>
      </c>
      <c r="B337" s="32">
        <f t="shared" si="32"/>
        <v>51013</v>
      </c>
      <c r="C337" s="30">
        <f t="shared" si="38"/>
        <v>237032.94628305107</v>
      </c>
      <c r="D337" s="30">
        <f t="shared" si="33"/>
        <v>6354.694503075656</v>
      </c>
      <c r="E337" s="31">
        <f t="shared" si="34"/>
        <v>0</v>
      </c>
      <c r="F337" s="30">
        <f t="shared" si="35"/>
        <v>6354.694503075656</v>
      </c>
      <c r="G337" s="30">
        <f t="shared" si="36"/>
        <v>5268.2934992783385</v>
      </c>
      <c r="H337" s="30">
        <f t="shared" si="39"/>
        <v>1086.4010037973173</v>
      </c>
      <c r="I337" s="30">
        <f t="shared" si="37"/>
        <v>231764.65278377273</v>
      </c>
      <c r="J337" s="30">
        <f>SUM($H$18:$H337)</f>
        <v>1146066.8937679834</v>
      </c>
    </row>
    <row r="338" spans="1:10" x14ac:dyDescent="0.2">
      <c r="A338" s="33">
        <f>IF(Values_Entered,A337+1,"")</f>
        <v>321</v>
      </c>
      <c r="B338" s="32">
        <f t="shared" ref="B338:B401" si="40">IF(Pay_Num&lt;&gt;"",DATE(YEAR(Loan_Start),MONTH(Loan_Start)+(Pay_Num)*12/Num_Pmt_Per_Year,DAY(Loan_Start)),"")</f>
        <v>51044</v>
      </c>
      <c r="C338" s="30">
        <f t="shared" si="38"/>
        <v>231764.65278377273</v>
      </c>
      <c r="D338" s="30">
        <f t="shared" ref="D338:D401" si="41">IF(Pay_Num&lt;&gt;"",Scheduled_Monthly_Payment,"")</f>
        <v>6354.694503075656</v>
      </c>
      <c r="E338" s="31">
        <f t="shared" ref="E338:E401" si="42">IF(AND(Pay_Num&lt;&gt;"",Sched_Pay+Scheduled_Extra_Payments&lt;Beg_Bal),Scheduled_Extra_Payments,IF(AND(Pay_Num&lt;&gt;"",Beg_Bal-Sched_Pay&gt;0),Beg_Bal-Sched_Pay,IF(Pay_Num&lt;&gt;"",0,"")))</f>
        <v>0</v>
      </c>
      <c r="F338" s="30">
        <f t="shared" ref="F338:F401" si="43">IF(AND(Pay_Num&lt;&gt;"",Sched_Pay+Extra_Pay&lt;Beg_Bal),Sched_Pay+Extra_Pay,IF(Pay_Num&lt;&gt;"",Beg_Bal,""))</f>
        <v>6354.694503075656</v>
      </c>
      <c r="G338" s="30">
        <f t="shared" ref="G338:G401" si="44">IF(Pay_Num&lt;&gt;"",Total_Pay-Int,"")</f>
        <v>5292.4398444833641</v>
      </c>
      <c r="H338" s="30">
        <f t="shared" si="39"/>
        <v>1062.2546585922917</v>
      </c>
      <c r="I338" s="30">
        <f t="shared" ref="I338:I401" si="45">IF(AND(Pay_Num&lt;&gt;"",Sched_Pay+Extra_Pay&lt;Beg_Bal),Beg_Bal-Princ,IF(Pay_Num&lt;&gt;"",0,""))</f>
        <v>226472.21293928937</v>
      </c>
      <c r="J338" s="30">
        <f>SUM($H$18:$H338)</f>
        <v>1147129.1484265758</v>
      </c>
    </row>
    <row r="339" spans="1:10" x14ac:dyDescent="0.2">
      <c r="A339" s="33">
        <f>IF(Values_Entered,A338+1,"")</f>
        <v>322</v>
      </c>
      <c r="B339" s="32">
        <f t="shared" si="40"/>
        <v>51074</v>
      </c>
      <c r="C339" s="30">
        <f t="shared" ref="C339:C402" si="46">IF(Pay_Num&lt;&gt;"",I338,"")</f>
        <v>226472.21293928937</v>
      </c>
      <c r="D339" s="30">
        <f t="shared" si="41"/>
        <v>6354.694503075656</v>
      </c>
      <c r="E339" s="31">
        <f t="shared" si="42"/>
        <v>0</v>
      </c>
      <c r="F339" s="30">
        <f t="shared" si="43"/>
        <v>6354.694503075656</v>
      </c>
      <c r="G339" s="30">
        <f t="shared" si="44"/>
        <v>5316.6968604372469</v>
      </c>
      <c r="H339" s="30">
        <f t="shared" ref="H339:H402" si="47">IF(Pay_Num&lt;&gt;"",Beg_Bal*Interest_Rate/Num_Pmt_Per_Year,"")</f>
        <v>1037.9976426384096</v>
      </c>
      <c r="I339" s="30">
        <f t="shared" si="45"/>
        <v>221155.51607885212</v>
      </c>
      <c r="J339" s="30">
        <f>SUM($H$18:$H339)</f>
        <v>1148167.1460692142</v>
      </c>
    </row>
    <row r="340" spans="1:10" x14ac:dyDescent="0.2">
      <c r="A340" s="33">
        <f>IF(Values_Entered,A339+1,"")</f>
        <v>323</v>
      </c>
      <c r="B340" s="32">
        <f t="shared" si="40"/>
        <v>51105</v>
      </c>
      <c r="C340" s="30">
        <f t="shared" si="46"/>
        <v>221155.51607885212</v>
      </c>
      <c r="D340" s="30">
        <f t="shared" si="41"/>
        <v>6354.694503075656</v>
      </c>
      <c r="E340" s="31">
        <f t="shared" si="42"/>
        <v>0</v>
      </c>
      <c r="F340" s="30">
        <f t="shared" si="43"/>
        <v>6354.694503075656</v>
      </c>
      <c r="G340" s="30">
        <f t="shared" si="44"/>
        <v>5341.065054380917</v>
      </c>
      <c r="H340" s="30">
        <f t="shared" si="47"/>
        <v>1013.6294486947389</v>
      </c>
      <c r="I340" s="30">
        <f t="shared" si="45"/>
        <v>215814.4510244712</v>
      </c>
      <c r="J340" s="30">
        <f>SUM($H$18:$H340)</f>
        <v>1149180.7755179089</v>
      </c>
    </row>
    <row r="341" spans="1:10" x14ac:dyDescent="0.2">
      <c r="A341" s="33">
        <f>IF(Values_Entered,A340+1,"")</f>
        <v>324</v>
      </c>
      <c r="B341" s="32">
        <f t="shared" si="40"/>
        <v>51135</v>
      </c>
      <c r="C341" s="30">
        <f t="shared" si="46"/>
        <v>215814.4510244712</v>
      </c>
      <c r="D341" s="30">
        <f t="shared" si="41"/>
        <v>6354.694503075656</v>
      </c>
      <c r="E341" s="31">
        <f t="shared" si="42"/>
        <v>0</v>
      </c>
      <c r="F341" s="30">
        <f t="shared" si="43"/>
        <v>6354.694503075656</v>
      </c>
      <c r="G341" s="30">
        <f t="shared" si="44"/>
        <v>5365.5449358801634</v>
      </c>
      <c r="H341" s="30">
        <f t="shared" si="47"/>
        <v>989.14956719549298</v>
      </c>
      <c r="I341" s="30">
        <f t="shared" si="45"/>
        <v>210448.90608859103</v>
      </c>
      <c r="J341" s="30">
        <f>SUM($H$18:$H341)</f>
        <v>1150169.9250851043</v>
      </c>
    </row>
    <row r="342" spans="1:10" x14ac:dyDescent="0.2">
      <c r="A342" s="33">
        <f>IF(Values_Entered,A341+1,"")</f>
        <v>325</v>
      </c>
      <c r="B342" s="32">
        <f t="shared" si="40"/>
        <v>51166</v>
      </c>
      <c r="C342" s="30">
        <f t="shared" si="46"/>
        <v>210448.90608859103</v>
      </c>
      <c r="D342" s="30">
        <f t="shared" si="41"/>
        <v>6354.694503075656</v>
      </c>
      <c r="E342" s="31">
        <f t="shared" si="42"/>
        <v>0</v>
      </c>
      <c r="F342" s="30">
        <f t="shared" si="43"/>
        <v>6354.694503075656</v>
      </c>
      <c r="G342" s="30">
        <f t="shared" si="44"/>
        <v>5390.137016836281</v>
      </c>
      <c r="H342" s="30">
        <f t="shared" si="47"/>
        <v>964.55748623937552</v>
      </c>
      <c r="I342" s="30">
        <f t="shared" si="45"/>
        <v>205058.76907175474</v>
      </c>
      <c r="J342" s="30">
        <f>SUM($H$18:$H342)</f>
        <v>1151134.4825713437</v>
      </c>
    </row>
    <row r="343" spans="1:10" x14ac:dyDescent="0.2">
      <c r="A343" s="33">
        <f>IF(Values_Entered,A342+1,"")</f>
        <v>326</v>
      </c>
      <c r="B343" s="32">
        <f t="shared" si="40"/>
        <v>51197</v>
      </c>
      <c r="C343" s="30">
        <f t="shared" si="46"/>
        <v>205058.76907175474</v>
      </c>
      <c r="D343" s="30">
        <f t="shared" si="41"/>
        <v>6354.694503075656</v>
      </c>
      <c r="E343" s="31">
        <f t="shared" si="42"/>
        <v>0</v>
      </c>
      <c r="F343" s="30">
        <f t="shared" si="43"/>
        <v>6354.694503075656</v>
      </c>
      <c r="G343" s="30">
        <f t="shared" si="44"/>
        <v>5414.8418114967799</v>
      </c>
      <c r="H343" s="30">
        <f t="shared" si="47"/>
        <v>939.85269157887581</v>
      </c>
      <c r="I343" s="30">
        <f t="shared" si="45"/>
        <v>199643.92726025794</v>
      </c>
      <c r="J343" s="30">
        <f>SUM($H$18:$H343)</f>
        <v>1152074.3352629226</v>
      </c>
    </row>
    <row r="344" spans="1:10" x14ac:dyDescent="0.2">
      <c r="A344" s="33">
        <f>IF(Values_Entered,A343+1,"")</f>
        <v>327</v>
      </c>
      <c r="B344" s="32">
        <f t="shared" si="40"/>
        <v>51226</v>
      </c>
      <c r="C344" s="30">
        <f t="shared" si="46"/>
        <v>199643.92726025794</v>
      </c>
      <c r="D344" s="30">
        <f t="shared" si="41"/>
        <v>6354.694503075656</v>
      </c>
      <c r="E344" s="31">
        <f t="shared" si="42"/>
        <v>0</v>
      </c>
      <c r="F344" s="30">
        <f t="shared" si="43"/>
        <v>6354.694503075656</v>
      </c>
      <c r="G344" s="30">
        <f t="shared" si="44"/>
        <v>5439.6598364661404</v>
      </c>
      <c r="H344" s="30">
        <f t="shared" si="47"/>
        <v>915.03466660951563</v>
      </c>
      <c r="I344" s="30">
        <f t="shared" si="45"/>
        <v>194204.26742379181</v>
      </c>
      <c r="J344" s="30">
        <f>SUM($H$18:$H344)</f>
        <v>1152989.3699295321</v>
      </c>
    </row>
    <row r="345" spans="1:10" x14ac:dyDescent="0.2">
      <c r="A345" s="33">
        <f>IF(Values_Entered,A344+1,"")</f>
        <v>328</v>
      </c>
      <c r="B345" s="32">
        <f t="shared" si="40"/>
        <v>51257</v>
      </c>
      <c r="C345" s="30">
        <f t="shared" si="46"/>
        <v>194204.26742379181</v>
      </c>
      <c r="D345" s="30">
        <f t="shared" si="41"/>
        <v>6354.694503075656</v>
      </c>
      <c r="E345" s="31">
        <f t="shared" si="42"/>
        <v>0</v>
      </c>
      <c r="F345" s="30">
        <f t="shared" si="43"/>
        <v>6354.694503075656</v>
      </c>
      <c r="G345" s="30">
        <f t="shared" si="44"/>
        <v>5464.5916107166104</v>
      </c>
      <c r="H345" s="30">
        <f t="shared" si="47"/>
        <v>890.10289235904577</v>
      </c>
      <c r="I345" s="30">
        <f t="shared" si="45"/>
        <v>188739.67581307521</v>
      </c>
      <c r="J345" s="30">
        <f>SUM($H$18:$H345)</f>
        <v>1153879.4728218911</v>
      </c>
    </row>
    <row r="346" spans="1:10" x14ac:dyDescent="0.2">
      <c r="A346" s="33">
        <f>IF(Values_Entered,A345+1,"")</f>
        <v>329</v>
      </c>
      <c r="B346" s="32">
        <f t="shared" si="40"/>
        <v>51287</v>
      </c>
      <c r="C346" s="30">
        <f t="shared" si="46"/>
        <v>188739.67581307521</v>
      </c>
      <c r="D346" s="30">
        <f t="shared" si="41"/>
        <v>6354.694503075656</v>
      </c>
      <c r="E346" s="31">
        <f t="shared" si="42"/>
        <v>0</v>
      </c>
      <c r="F346" s="30">
        <f t="shared" si="43"/>
        <v>6354.694503075656</v>
      </c>
      <c r="G346" s="30">
        <f t="shared" si="44"/>
        <v>5489.637655599061</v>
      </c>
      <c r="H346" s="30">
        <f t="shared" si="47"/>
        <v>865.05684747659473</v>
      </c>
      <c r="I346" s="30">
        <f t="shared" si="45"/>
        <v>183250.03815747614</v>
      </c>
      <c r="J346" s="30">
        <f>SUM($H$18:$H346)</f>
        <v>1154744.5296693677</v>
      </c>
    </row>
    <row r="347" spans="1:10" x14ac:dyDescent="0.2">
      <c r="A347" s="33">
        <f>IF(Values_Entered,A346+1,"")</f>
        <v>330</v>
      </c>
      <c r="B347" s="32">
        <f t="shared" si="40"/>
        <v>51318</v>
      </c>
      <c r="C347" s="30">
        <f t="shared" si="46"/>
        <v>183250.03815747614</v>
      </c>
      <c r="D347" s="30">
        <f t="shared" si="41"/>
        <v>6354.694503075656</v>
      </c>
      <c r="E347" s="31">
        <f t="shared" si="42"/>
        <v>0</v>
      </c>
      <c r="F347" s="30">
        <f t="shared" si="43"/>
        <v>6354.694503075656</v>
      </c>
      <c r="G347" s="30">
        <f t="shared" si="44"/>
        <v>5514.7984948538906</v>
      </c>
      <c r="H347" s="30">
        <f t="shared" si="47"/>
        <v>839.89600822176556</v>
      </c>
      <c r="I347" s="30">
        <f t="shared" si="45"/>
        <v>177735.23966262225</v>
      </c>
      <c r="J347" s="30">
        <f>SUM($H$18:$H347)</f>
        <v>1155584.4256775894</v>
      </c>
    </row>
    <row r="348" spans="1:10" x14ac:dyDescent="0.2">
      <c r="A348" s="33">
        <f>IF(Values_Entered,A347+1,"")</f>
        <v>331</v>
      </c>
      <c r="B348" s="32">
        <f t="shared" si="40"/>
        <v>51348</v>
      </c>
      <c r="C348" s="30">
        <f t="shared" si="46"/>
        <v>177735.23966262225</v>
      </c>
      <c r="D348" s="30">
        <f t="shared" si="41"/>
        <v>6354.694503075656</v>
      </c>
      <c r="E348" s="31">
        <f t="shared" si="42"/>
        <v>0</v>
      </c>
      <c r="F348" s="30">
        <f t="shared" si="43"/>
        <v>6354.694503075656</v>
      </c>
      <c r="G348" s="30">
        <f t="shared" si="44"/>
        <v>5540.0746546219707</v>
      </c>
      <c r="H348" s="30">
        <f t="shared" si="47"/>
        <v>814.61984845368534</v>
      </c>
      <c r="I348" s="30">
        <f t="shared" si="45"/>
        <v>172195.16500800027</v>
      </c>
      <c r="J348" s="30">
        <f>SUM($H$18:$H348)</f>
        <v>1156399.045526043</v>
      </c>
    </row>
    <row r="349" spans="1:10" x14ac:dyDescent="0.2">
      <c r="A349" s="33">
        <f>IF(Values_Entered,A348+1,"")</f>
        <v>332</v>
      </c>
      <c r="B349" s="32">
        <f t="shared" si="40"/>
        <v>51379</v>
      </c>
      <c r="C349" s="30">
        <f t="shared" si="46"/>
        <v>172195.16500800027</v>
      </c>
      <c r="D349" s="30">
        <f t="shared" si="41"/>
        <v>6354.694503075656</v>
      </c>
      <c r="E349" s="31">
        <f t="shared" si="42"/>
        <v>0</v>
      </c>
      <c r="F349" s="30">
        <f t="shared" si="43"/>
        <v>6354.694503075656</v>
      </c>
      <c r="G349" s="30">
        <f t="shared" si="44"/>
        <v>5565.4666634556543</v>
      </c>
      <c r="H349" s="30">
        <f t="shared" si="47"/>
        <v>789.2278396200013</v>
      </c>
      <c r="I349" s="30">
        <f t="shared" si="45"/>
        <v>166629.69834454462</v>
      </c>
      <c r="J349" s="30">
        <f>SUM($H$18:$H349)</f>
        <v>1157188.2733656631</v>
      </c>
    </row>
    <row r="350" spans="1:10" x14ac:dyDescent="0.2">
      <c r="A350" s="33">
        <f>IF(Values_Entered,A349+1,"")</f>
        <v>333</v>
      </c>
      <c r="B350" s="32">
        <f t="shared" si="40"/>
        <v>51410</v>
      </c>
      <c r="C350" s="30">
        <f t="shared" si="46"/>
        <v>166629.69834454462</v>
      </c>
      <c r="D350" s="30">
        <f t="shared" si="41"/>
        <v>6354.694503075656</v>
      </c>
      <c r="E350" s="31">
        <f t="shared" si="42"/>
        <v>0</v>
      </c>
      <c r="F350" s="30">
        <f t="shared" si="43"/>
        <v>6354.694503075656</v>
      </c>
      <c r="G350" s="30">
        <f t="shared" si="44"/>
        <v>5590.9750523298262</v>
      </c>
      <c r="H350" s="30">
        <f t="shared" si="47"/>
        <v>763.71945074582948</v>
      </c>
      <c r="I350" s="30">
        <f t="shared" si="45"/>
        <v>161038.7232922148</v>
      </c>
      <c r="J350" s="30">
        <f>SUM($H$18:$H350)</f>
        <v>1157951.9928164089</v>
      </c>
    </row>
    <row r="351" spans="1:10" x14ac:dyDescent="0.2">
      <c r="A351" s="33">
        <f>IF(Values_Entered,A350+1,"")</f>
        <v>334</v>
      </c>
      <c r="B351" s="32">
        <f t="shared" si="40"/>
        <v>51440</v>
      </c>
      <c r="C351" s="30">
        <f t="shared" si="46"/>
        <v>161038.7232922148</v>
      </c>
      <c r="D351" s="30">
        <f t="shared" si="41"/>
        <v>6354.694503075656</v>
      </c>
      <c r="E351" s="31">
        <f t="shared" si="42"/>
        <v>0</v>
      </c>
      <c r="F351" s="30">
        <f t="shared" si="43"/>
        <v>6354.694503075656</v>
      </c>
      <c r="G351" s="30">
        <f t="shared" si="44"/>
        <v>5616.6003546530046</v>
      </c>
      <c r="H351" s="30">
        <f t="shared" si="47"/>
        <v>738.09414842265107</v>
      </c>
      <c r="I351" s="30">
        <f t="shared" si="45"/>
        <v>155422.1229375618</v>
      </c>
      <c r="J351" s="30">
        <f>SUM($H$18:$H351)</f>
        <v>1158690.0869648315</v>
      </c>
    </row>
    <row r="352" spans="1:10" x14ac:dyDescent="0.2">
      <c r="A352" s="33">
        <f>IF(Values_Entered,A351+1,"")</f>
        <v>335</v>
      </c>
      <c r="B352" s="32">
        <f t="shared" si="40"/>
        <v>51471</v>
      </c>
      <c r="C352" s="30">
        <f t="shared" si="46"/>
        <v>155422.1229375618</v>
      </c>
      <c r="D352" s="30">
        <f t="shared" si="41"/>
        <v>6354.694503075656</v>
      </c>
      <c r="E352" s="31">
        <f t="shared" si="42"/>
        <v>0</v>
      </c>
      <c r="F352" s="30">
        <f t="shared" si="43"/>
        <v>6354.694503075656</v>
      </c>
      <c r="G352" s="30">
        <f t="shared" si="44"/>
        <v>5642.3431062784975</v>
      </c>
      <c r="H352" s="30">
        <f t="shared" si="47"/>
        <v>712.35139679715815</v>
      </c>
      <c r="I352" s="30">
        <f t="shared" si="45"/>
        <v>149779.77983128329</v>
      </c>
      <c r="J352" s="30">
        <f>SUM($H$18:$H352)</f>
        <v>1159402.4383616287</v>
      </c>
    </row>
    <row r="353" spans="1:10" x14ac:dyDescent="0.2">
      <c r="A353" s="33">
        <f>IF(Values_Entered,A352+1,"")</f>
        <v>336</v>
      </c>
      <c r="B353" s="32">
        <f t="shared" si="40"/>
        <v>51501</v>
      </c>
      <c r="C353" s="30">
        <f t="shared" si="46"/>
        <v>149779.77983128329</v>
      </c>
      <c r="D353" s="30">
        <f t="shared" si="41"/>
        <v>6354.694503075656</v>
      </c>
      <c r="E353" s="31">
        <f t="shared" si="42"/>
        <v>0</v>
      </c>
      <c r="F353" s="30">
        <f t="shared" si="43"/>
        <v>6354.694503075656</v>
      </c>
      <c r="G353" s="30">
        <f t="shared" si="44"/>
        <v>5668.2038455156071</v>
      </c>
      <c r="H353" s="30">
        <f t="shared" si="47"/>
        <v>686.49065756004848</v>
      </c>
      <c r="I353" s="30">
        <f t="shared" si="45"/>
        <v>144111.57598576767</v>
      </c>
      <c r="J353" s="30">
        <f>SUM($H$18:$H353)</f>
        <v>1160088.9290191887</v>
      </c>
    </row>
    <row r="354" spans="1:10" x14ac:dyDescent="0.2">
      <c r="A354" s="33">
        <f>IF(Values_Entered,A353+1,"")</f>
        <v>337</v>
      </c>
      <c r="B354" s="32">
        <f t="shared" si="40"/>
        <v>51532</v>
      </c>
      <c r="C354" s="30">
        <f t="shared" si="46"/>
        <v>144111.57598576767</v>
      </c>
      <c r="D354" s="30">
        <f t="shared" si="41"/>
        <v>6354.694503075656</v>
      </c>
      <c r="E354" s="31">
        <f t="shared" si="42"/>
        <v>0</v>
      </c>
      <c r="F354" s="30">
        <f t="shared" si="43"/>
        <v>6354.694503075656</v>
      </c>
      <c r="G354" s="30">
        <f t="shared" si="44"/>
        <v>5694.1831131408871</v>
      </c>
      <c r="H354" s="30">
        <f t="shared" si="47"/>
        <v>660.51138993476854</v>
      </c>
      <c r="I354" s="30">
        <f t="shared" si="45"/>
        <v>138417.39287262678</v>
      </c>
      <c r="J354" s="30">
        <f>SUM($H$18:$H354)</f>
        <v>1160749.4404091234</v>
      </c>
    </row>
    <row r="355" spans="1:10" x14ac:dyDescent="0.2">
      <c r="A355" s="33">
        <f>IF(Values_Entered,A354+1,"")</f>
        <v>338</v>
      </c>
      <c r="B355" s="32">
        <f t="shared" si="40"/>
        <v>51563</v>
      </c>
      <c r="C355" s="30">
        <f t="shared" si="46"/>
        <v>138417.39287262678</v>
      </c>
      <c r="D355" s="30">
        <f t="shared" si="41"/>
        <v>6354.694503075656</v>
      </c>
      <c r="E355" s="31">
        <f t="shared" si="42"/>
        <v>0</v>
      </c>
      <c r="F355" s="30">
        <f t="shared" si="43"/>
        <v>6354.694503075656</v>
      </c>
      <c r="G355" s="30">
        <f t="shared" si="44"/>
        <v>5720.2814524094501</v>
      </c>
      <c r="H355" s="30">
        <f t="shared" si="47"/>
        <v>634.413050666206</v>
      </c>
      <c r="I355" s="30">
        <f t="shared" si="45"/>
        <v>132697.11142021732</v>
      </c>
      <c r="J355" s="30">
        <f>SUM($H$18:$H355)</f>
        <v>1161383.8534597897</v>
      </c>
    </row>
    <row r="356" spans="1:10" x14ac:dyDescent="0.2">
      <c r="A356" s="33">
        <f>IF(Values_Entered,A355+1,"")</f>
        <v>339</v>
      </c>
      <c r="B356" s="32">
        <f t="shared" si="40"/>
        <v>51591</v>
      </c>
      <c r="C356" s="30">
        <f t="shared" si="46"/>
        <v>132697.11142021732</v>
      </c>
      <c r="D356" s="30">
        <f t="shared" si="41"/>
        <v>6354.694503075656</v>
      </c>
      <c r="E356" s="31">
        <f t="shared" si="42"/>
        <v>0</v>
      </c>
      <c r="F356" s="30">
        <f t="shared" si="43"/>
        <v>6354.694503075656</v>
      </c>
      <c r="G356" s="30">
        <f t="shared" si="44"/>
        <v>5746.4994090663267</v>
      </c>
      <c r="H356" s="30">
        <f t="shared" si="47"/>
        <v>608.19509400932941</v>
      </c>
      <c r="I356" s="30">
        <f t="shared" si="45"/>
        <v>126950.612011151</v>
      </c>
      <c r="J356" s="30">
        <f>SUM($H$18:$H356)</f>
        <v>1161992.048553799</v>
      </c>
    </row>
    <row r="357" spans="1:10" x14ac:dyDescent="0.2">
      <c r="A357" s="33">
        <f>IF(Values_Entered,A356+1,"")</f>
        <v>340</v>
      </c>
      <c r="B357" s="32">
        <f t="shared" si="40"/>
        <v>51622</v>
      </c>
      <c r="C357" s="30">
        <f t="shared" si="46"/>
        <v>126950.612011151</v>
      </c>
      <c r="D357" s="30">
        <f t="shared" si="41"/>
        <v>6354.694503075656</v>
      </c>
      <c r="E357" s="31">
        <f t="shared" si="42"/>
        <v>0</v>
      </c>
      <c r="F357" s="30">
        <f t="shared" si="43"/>
        <v>6354.694503075656</v>
      </c>
      <c r="G357" s="30">
        <f t="shared" si="44"/>
        <v>5772.8375313578808</v>
      </c>
      <c r="H357" s="30">
        <f t="shared" si="47"/>
        <v>581.85697171777542</v>
      </c>
      <c r="I357" s="30">
        <f t="shared" si="45"/>
        <v>121177.77447979311</v>
      </c>
      <c r="J357" s="30">
        <f>SUM($H$18:$H357)</f>
        <v>1162573.9055255167</v>
      </c>
    </row>
    <row r="358" spans="1:10" x14ac:dyDescent="0.2">
      <c r="A358" s="33">
        <f>IF(Values_Entered,A357+1,"")</f>
        <v>341</v>
      </c>
      <c r="B358" s="32">
        <f t="shared" si="40"/>
        <v>51652</v>
      </c>
      <c r="C358" s="30">
        <f t="shared" si="46"/>
        <v>121177.77447979311</v>
      </c>
      <c r="D358" s="30">
        <f t="shared" si="41"/>
        <v>6354.694503075656</v>
      </c>
      <c r="E358" s="31">
        <f t="shared" si="42"/>
        <v>0</v>
      </c>
      <c r="F358" s="30">
        <f t="shared" si="43"/>
        <v>6354.694503075656</v>
      </c>
      <c r="G358" s="30">
        <f t="shared" si="44"/>
        <v>5799.2963700432711</v>
      </c>
      <c r="H358" s="30">
        <f t="shared" si="47"/>
        <v>555.39813303238509</v>
      </c>
      <c r="I358" s="30">
        <f t="shared" si="45"/>
        <v>115378.47810974983</v>
      </c>
      <c r="J358" s="30">
        <f>SUM($H$18:$H358)</f>
        <v>1163129.3036585492</v>
      </c>
    </row>
    <row r="359" spans="1:10" x14ac:dyDescent="0.2">
      <c r="A359" s="33">
        <f>IF(Values_Entered,A358+1,"")</f>
        <v>342</v>
      </c>
      <c r="B359" s="32">
        <f t="shared" si="40"/>
        <v>51683</v>
      </c>
      <c r="C359" s="30">
        <f t="shared" si="46"/>
        <v>115378.47810974983</v>
      </c>
      <c r="D359" s="30">
        <f t="shared" si="41"/>
        <v>6354.694503075656</v>
      </c>
      <c r="E359" s="31">
        <f t="shared" si="42"/>
        <v>0</v>
      </c>
      <c r="F359" s="30">
        <f t="shared" si="43"/>
        <v>6354.694503075656</v>
      </c>
      <c r="G359" s="30">
        <f t="shared" si="44"/>
        <v>5825.8764784059695</v>
      </c>
      <c r="H359" s="30">
        <f t="shared" si="47"/>
        <v>528.81802466968668</v>
      </c>
      <c r="I359" s="30">
        <f t="shared" si="45"/>
        <v>109552.60163134386</v>
      </c>
      <c r="J359" s="30">
        <f>SUM($H$18:$H359)</f>
        <v>1163658.121683219</v>
      </c>
    </row>
    <row r="360" spans="1:10" x14ac:dyDescent="0.2">
      <c r="A360" s="33">
        <f>IF(Values_Entered,A359+1,"")</f>
        <v>343</v>
      </c>
      <c r="B360" s="32">
        <f t="shared" si="40"/>
        <v>51713</v>
      </c>
      <c r="C360" s="30">
        <f t="shared" si="46"/>
        <v>109552.60163134386</v>
      </c>
      <c r="D360" s="30">
        <f t="shared" si="41"/>
        <v>6354.694503075656</v>
      </c>
      <c r="E360" s="31">
        <f t="shared" si="42"/>
        <v>0</v>
      </c>
      <c r="F360" s="30">
        <f t="shared" si="43"/>
        <v>6354.694503075656</v>
      </c>
      <c r="G360" s="30">
        <f t="shared" si="44"/>
        <v>5852.5784122653304</v>
      </c>
      <c r="H360" s="30">
        <f t="shared" si="47"/>
        <v>502.11609081032606</v>
      </c>
      <c r="I360" s="30">
        <f t="shared" si="45"/>
        <v>103700.02321907853</v>
      </c>
      <c r="J360" s="30">
        <f>SUM($H$18:$H360)</f>
        <v>1164160.2377740294</v>
      </c>
    </row>
    <row r="361" spans="1:10" x14ac:dyDescent="0.2">
      <c r="A361" s="33">
        <f>IF(Values_Entered,A360+1,"")</f>
        <v>344</v>
      </c>
      <c r="B361" s="32">
        <f t="shared" si="40"/>
        <v>51744</v>
      </c>
      <c r="C361" s="30">
        <f t="shared" si="46"/>
        <v>103700.02321907853</v>
      </c>
      <c r="D361" s="30">
        <f t="shared" si="41"/>
        <v>6354.694503075656</v>
      </c>
      <c r="E361" s="31">
        <f t="shared" si="42"/>
        <v>0</v>
      </c>
      <c r="F361" s="30">
        <f t="shared" si="43"/>
        <v>6354.694503075656</v>
      </c>
      <c r="G361" s="30">
        <f t="shared" si="44"/>
        <v>5879.4027299882127</v>
      </c>
      <c r="H361" s="30">
        <f t="shared" si="47"/>
        <v>475.29177308744329</v>
      </c>
      <c r="I361" s="30">
        <f t="shared" si="45"/>
        <v>97820.620489090317</v>
      </c>
      <c r="J361" s="30">
        <f>SUM($H$18:$H361)</f>
        <v>1164635.5295471167</v>
      </c>
    </row>
    <row r="362" spans="1:10" x14ac:dyDescent="0.2">
      <c r="A362" s="33">
        <f>IF(Values_Entered,A361+1,"")</f>
        <v>345</v>
      </c>
      <c r="B362" s="32">
        <f t="shared" si="40"/>
        <v>51775</v>
      </c>
      <c r="C362" s="30">
        <f t="shared" si="46"/>
        <v>97820.620489090317</v>
      </c>
      <c r="D362" s="30">
        <f t="shared" si="41"/>
        <v>6354.694503075656</v>
      </c>
      <c r="E362" s="31">
        <f t="shared" si="42"/>
        <v>0</v>
      </c>
      <c r="F362" s="30">
        <f t="shared" si="43"/>
        <v>6354.694503075656</v>
      </c>
      <c r="G362" s="30">
        <f t="shared" si="44"/>
        <v>5906.349992500659</v>
      </c>
      <c r="H362" s="30">
        <f t="shared" si="47"/>
        <v>448.34451057499729</v>
      </c>
      <c r="I362" s="30">
        <f t="shared" si="45"/>
        <v>91914.270496589656</v>
      </c>
      <c r="J362" s="30">
        <f>SUM($H$18:$H362)</f>
        <v>1165083.8740576918</v>
      </c>
    </row>
    <row r="363" spans="1:10" x14ac:dyDescent="0.2">
      <c r="A363" s="33">
        <f>IF(Values_Entered,A362+1,"")</f>
        <v>346</v>
      </c>
      <c r="B363" s="32">
        <f t="shared" si="40"/>
        <v>51805</v>
      </c>
      <c r="C363" s="30">
        <f t="shared" si="46"/>
        <v>91914.270496589656</v>
      </c>
      <c r="D363" s="30">
        <f t="shared" si="41"/>
        <v>6354.694503075656</v>
      </c>
      <c r="E363" s="31">
        <f t="shared" si="42"/>
        <v>0</v>
      </c>
      <c r="F363" s="30">
        <f t="shared" si="43"/>
        <v>6354.694503075656</v>
      </c>
      <c r="G363" s="30">
        <f t="shared" si="44"/>
        <v>5933.4207632996204</v>
      </c>
      <c r="H363" s="30">
        <f t="shared" si="47"/>
        <v>421.27373977603594</v>
      </c>
      <c r="I363" s="30">
        <f t="shared" si="45"/>
        <v>85980.84973329003</v>
      </c>
      <c r="J363" s="30">
        <f>SUM($H$18:$H363)</f>
        <v>1165505.1477974679</v>
      </c>
    </row>
    <row r="364" spans="1:10" x14ac:dyDescent="0.2">
      <c r="A364" s="33">
        <f>IF(Values_Entered,A363+1,"")</f>
        <v>347</v>
      </c>
      <c r="B364" s="32">
        <f t="shared" si="40"/>
        <v>51836</v>
      </c>
      <c r="C364" s="30">
        <f t="shared" si="46"/>
        <v>85980.84973329003</v>
      </c>
      <c r="D364" s="30">
        <f t="shared" si="41"/>
        <v>6354.694503075656</v>
      </c>
      <c r="E364" s="31">
        <f t="shared" si="42"/>
        <v>0</v>
      </c>
      <c r="F364" s="30">
        <f t="shared" si="43"/>
        <v>6354.694503075656</v>
      </c>
      <c r="G364" s="30">
        <f t="shared" si="44"/>
        <v>5960.6156084647437</v>
      </c>
      <c r="H364" s="30">
        <f t="shared" si="47"/>
        <v>394.07889461091264</v>
      </c>
      <c r="I364" s="30">
        <f t="shared" si="45"/>
        <v>80020.234124825292</v>
      </c>
      <c r="J364" s="30">
        <f>SUM($H$18:$H364)</f>
        <v>1165899.2266920789</v>
      </c>
    </row>
    <row r="365" spans="1:10" x14ac:dyDescent="0.2">
      <c r="A365" s="33">
        <f>IF(Values_Entered,A364+1,"")</f>
        <v>348</v>
      </c>
      <c r="B365" s="32">
        <f t="shared" si="40"/>
        <v>51866</v>
      </c>
      <c r="C365" s="30">
        <f t="shared" si="46"/>
        <v>80020.234124825292</v>
      </c>
      <c r="D365" s="30">
        <f t="shared" si="41"/>
        <v>6354.694503075656</v>
      </c>
      <c r="E365" s="31">
        <f t="shared" si="42"/>
        <v>0</v>
      </c>
      <c r="F365" s="30">
        <f t="shared" si="43"/>
        <v>6354.694503075656</v>
      </c>
      <c r="G365" s="30">
        <f t="shared" si="44"/>
        <v>5987.9350966702068</v>
      </c>
      <c r="H365" s="30">
        <f t="shared" si="47"/>
        <v>366.75940640544923</v>
      </c>
      <c r="I365" s="30">
        <f t="shared" si="45"/>
        <v>74032.299028155088</v>
      </c>
      <c r="J365" s="30">
        <f>SUM($H$18:$H365)</f>
        <v>1166265.9860984844</v>
      </c>
    </row>
    <row r="366" spans="1:10" x14ac:dyDescent="0.2">
      <c r="A366" s="33">
        <f>IF(Values_Entered,A365+1,"")</f>
        <v>349</v>
      </c>
      <c r="B366" s="32">
        <f t="shared" si="40"/>
        <v>51897</v>
      </c>
      <c r="C366" s="30">
        <f t="shared" si="46"/>
        <v>74032.299028155088</v>
      </c>
      <c r="D366" s="30">
        <f t="shared" si="41"/>
        <v>6354.694503075656</v>
      </c>
      <c r="E366" s="31">
        <f t="shared" si="42"/>
        <v>0</v>
      </c>
      <c r="F366" s="30">
        <f t="shared" si="43"/>
        <v>6354.694503075656</v>
      </c>
      <c r="G366" s="30">
        <f t="shared" si="44"/>
        <v>6015.3797991966121</v>
      </c>
      <c r="H366" s="30">
        <f t="shared" si="47"/>
        <v>339.31470387904415</v>
      </c>
      <c r="I366" s="30">
        <f t="shared" si="45"/>
        <v>68016.919228958475</v>
      </c>
      <c r="J366" s="30">
        <f>SUM($H$18:$H366)</f>
        <v>1166605.3008023633</v>
      </c>
    </row>
    <row r="367" spans="1:10" x14ac:dyDescent="0.2">
      <c r="A367" s="33">
        <f>IF(Values_Entered,A366+1,"")</f>
        <v>350</v>
      </c>
      <c r="B367" s="32">
        <f t="shared" si="40"/>
        <v>51928</v>
      </c>
      <c r="C367" s="30">
        <f t="shared" si="46"/>
        <v>68016.919228958475</v>
      </c>
      <c r="D367" s="30">
        <f t="shared" si="41"/>
        <v>6354.694503075656</v>
      </c>
      <c r="E367" s="31">
        <f t="shared" si="42"/>
        <v>0</v>
      </c>
      <c r="F367" s="30">
        <f t="shared" si="43"/>
        <v>6354.694503075656</v>
      </c>
      <c r="G367" s="30">
        <f t="shared" si="44"/>
        <v>6042.9502899429299</v>
      </c>
      <c r="H367" s="30">
        <f t="shared" si="47"/>
        <v>311.74421313272632</v>
      </c>
      <c r="I367" s="30">
        <f t="shared" si="45"/>
        <v>61973.968939015547</v>
      </c>
      <c r="J367" s="30">
        <f>SUM($H$18:$H367)</f>
        <v>1166917.045015496</v>
      </c>
    </row>
    <row r="368" spans="1:10" x14ac:dyDescent="0.2">
      <c r="A368" s="33">
        <f>IF(Values_Entered,A367+1,"")</f>
        <v>351</v>
      </c>
      <c r="B368" s="32">
        <f t="shared" si="40"/>
        <v>51956</v>
      </c>
      <c r="C368" s="30">
        <f t="shared" si="46"/>
        <v>61973.968939015547</v>
      </c>
      <c r="D368" s="30">
        <f t="shared" si="41"/>
        <v>6354.694503075656</v>
      </c>
      <c r="E368" s="31">
        <f t="shared" si="42"/>
        <v>0</v>
      </c>
      <c r="F368" s="30">
        <f t="shared" si="43"/>
        <v>6354.694503075656</v>
      </c>
      <c r="G368" s="30">
        <f t="shared" si="44"/>
        <v>6070.6471454385019</v>
      </c>
      <c r="H368" s="30">
        <f t="shared" si="47"/>
        <v>284.04735763715456</v>
      </c>
      <c r="I368" s="30">
        <f t="shared" si="45"/>
        <v>55903.321793577044</v>
      </c>
      <c r="J368" s="30">
        <f>SUM($H$18:$H368)</f>
        <v>1167201.0923731332</v>
      </c>
    </row>
    <row r="369" spans="1:10" x14ac:dyDescent="0.2">
      <c r="A369" s="33">
        <f>IF(Values_Entered,A368+1,"")</f>
        <v>352</v>
      </c>
      <c r="B369" s="32">
        <f t="shared" si="40"/>
        <v>51987</v>
      </c>
      <c r="C369" s="30">
        <f t="shared" si="46"/>
        <v>55903.321793577044</v>
      </c>
      <c r="D369" s="30">
        <f t="shared" si="41"/>
        <v>6354.694503075656</v>
      </c>
      <c r="E369" s="31">
        <f t="shared" si="42"/>
        <v>0</v>
      </c>
      <c r="F369" s="30">
        <f t="shared" si="43"/>
        <v>6354.694503075656</v>
      </c>
      <c r="G369" s="30">
        <f t="shared" si="44"/>
        <v>6098.4709448550948</v>
      </c>
      <c r="H369" s="30">
        <f t="shared" si="47"/>
        <v>256.22355822056147</v>
      </c>
      <c r="I369" s="30">
        <f t="shared" si="45"/>
        <v>49804.850848721951</v>
      </c>
      <c r="J369" s="30">
        <f>SUM($H$18:$H369)</f>
        <v>1167457.3159313537</v>
      </c>
    </row>
    <row r="370" spans="1:10" x14ac:dyDescent="0.2">
      <c r="A370" s="33">
        <f>IF(Values_Entered,A369+1,"")</f>
        <v>353</v>
      </c>
      <c r="B370" s="32">
        <f t="shared" si="40"/>
        <v>52017</v>
      </c>
      <c r="C370" s="30">
        <f t="shared" si="46"/>
        <v>49804.850848721951</v>
      </c>
      <c r="D370" s="30">
        <f t="shared" si="41"/>
        <v>6354.694503075656</v>
      </c>
      <c r="E370" s="31">
        <f t="shared" si="42"/>
        <v>0</v>
      </c>
      <c r="F370" s="30">
        <f t="shared" si="43"/>
        <v>6354.694503075656</v>
      </c>
      <c r="G370" s="30">
        <f t="shared" si="44"/>
        <v>6126.4222700190139</v>
      </c>
      <c r="H370" s="30">
        <f t="shared" si="47"/>
        <v>228.27223305664231</v>
      </c>
      <c r="I370" s="30">
        <f t="shared" si="45"/>
        <v>43678.428578702937</v>
      </c>
      <c r="J370" s="30">
        <f>SUM($H$18:$H370)</f>
        <v>1167685.5881644103</v>
      </c>
    </row>
    <row r="371" spans="1:10" x14ac:dyDescent="0.2">
      <c r="A371" s="33">
        <f>IF(Values_Entered,A370+1,"")</f>
        <v>354</v>
      </c>
      <c r="B371" s="32">
        <f t="shared" si="40"/>
        <v>52048</v>
      </c>
      <c r="C371" s="30">
        <f t="shared" si="46"/>
        <v>43678.428578702937</v>
      </c>
      <c r="D371" s="30">
        <f t="shared" si="41"/>
        <v>6354.694503075656</v>
      </c>
      <c r="E371" s="31">
        <f t="shared" si="42"/>
        <v>0</v>
      </c>
      <c r="F371" s="30">
        <f t="shared" si="43"/>
        <v>6354.694503075656</v>
      </c>
      <c r="G371" s="30">
        <f t="shared" si="44"/>
        <v>6154.5017054232676</v>
      </c>
      <c r="H371" s="30">
        <f t="shared" si="47"/>
        <v>200.19279765238846</v>
      </c>
      <c r="I371" s="30">
        <f t="shared" si="45"/>
        <v>37523.92687327967</v>
      </c>
      <c r="J371" s="30">
        <f>SUM($H$18:$H371)</f>
        <v>1167885.7809620628</v>
      </c>
    </row>
    <row r="372" spans="1:10" x14ac:dyDescent="0.2">
      <c r="A372" s="33">
        <f>IF(Values_Entered,A371+1,"")</f>
        <v>355</v>
      </c>
      <c r="B372" s="32">
        <f t="shared" si="40"/>
        <v>52078</v>
      </c>
      <c r="C372" s="30">
        <f t="shared" si="46"/>
        <v>37523.92687327967</v>
      </c>
      <c r="D372" s="30">
        <f t="shared" si="41"/>
        <v>6354.694503075656</v>
      </c>
      <c r="E372" s="31">
        <f t="shared" si="42"/>
        <v>0</v>
      </c>
      <c r="F372" s="30">
        <f t="shared" si="43"/>
        <v>6354.694503075656</v>
      </c>
      <c r="G372" s="30">
        <f t="shared" si="44"/>
        <v>6182.7098382397908</v>
      </c>
      <c r="H372" s="30">
        <f t="shared" si="47"/>
        <v>171.98466483586515</v>
      </c>
      <c r="I372" s="30">
        <f t="shared" si="45"/>
        <v>31341.217035039881</v>
      </c>
      <c r="J372" s="30">
        <f>SUM($H$18:$H372)</f>
        <v>1168057.7656268987</v>
      </c>
    </row>
    <row r="373" spans="1:10" x14ac:dyDescent="0.2">
      <c r="A373" s="33">
        <f>IF(Values_Entered,A372+1,"")</f>
        <v>356</v>
      </c>
      <c r="B373" s="32">
        <f t="shared" si="40"/>
        <v>52109</v>
      </c>
      <c r="C373" s="30">
        <f t="shared" si="46"/>
        <v>31341.217035039881</v>
      </c>
      <c r="D373" s="30">
        <f t="shared" si="41"/>
        <v>6354.694503075656</v>
      </c>
      <c r="E373" s="31">
        <f t="shared" si="42"/>
        <v>0</v>
      </c>
      <c r="F373" s="30">
        <f t="shared" si="43"/>
        <v>6354.694503075656</v>
      </c>
      <c r="G373" s="30">
        <f t="shared" si="44"/>
        <v>6211.0472583317232</v>
      </c>
      <c r="H373" s="30">
        <f t="shared" si="47"/>
        <v>143.64724474393279</v>
      </c>
      <c r="I373" s="30">
        <f t="shared" si="45"/>
        <v>25130.169776708157</v>
      </c>
      <c r="J373" s="30">
        <f>SUM($H$18:$H373)</f>
        <v>1168201.4128716427</v>
      </c>
    </row>
    <row r="374" spans="1:10" x14ac:dyDescent="0.2">
      <c r="A374" s="33">
        <f>IF(Values_Entered,A373+1,"")</f>
        <v>357</v>
      </c>
      <c r="B374" s="32">
        <f t="shared" si="40"/>
        <v>52140</v>
      </c>
      <c r="C374" s="30">
        <f t="shared" si="46"/>
        <v>25130.169776708157</v>
      </c>
      <c r="D374" s="30">
        <f t="shared" si="41"/>
        <v>6354.694503075656</v>
      </c>
      <c r="E374" s="31">
        <f t="shared" si="42"/>
        <v>0</v>
      </c>
      <c r="F374" s="30">
        <f t="shared" si="43"/>
        <v>6354.694503075656</v>
      </c>
      <c r="G374" s="30">
        <f t="shared" si="44"/>
        <v>6239.5145582657433</v>
      </c>
      <c r="H374" s="30">
        <f t="shared" si="47"/>
        <v>115.17994480991239</v>
      </c>
      <c r="I374" s="30">
        <f t="shared" si="45"/>
        <v>18890.655218442414</v>
      </c>
      <c r="J374" s="30">
        <f>SUM($H$18:$H374)</f>
        <v>1168316.5928164527</v>
      </c>
    </row>
    <row r="375" spans="1:10" x14ac:dyDescent="0.2">
      <c r="A375" s="33">
        <f>IF(Values_Entered,A374+1,"")</f>
        <v>358</v>
      </c>
      <c r="B375" s="32">
        <f t="shared" si="40"/>
        <v>52170</v>
      </c>
      <c r="C375" s="30">
        <f t="shared" si="46"/>
        <v>18890.655218442414</v>
      </c>
      <c r="D375" s="30">
        <f t="shared" si="41"/>
        <v>6354.694503075656</v>
      </c>
      <c r="E375" s="31">
        <f t="shared" si="42"/>
        <v>0</v>
      </c>
      <c r="F375" s="30">
        <f t="shared" si="43"/>
        <v>6354.694503075656</v>
      </c>
      <c r="G375" s="30">
        <f t="shared" si="44"/>
        <v>6268.1123333244614</v>
      </c>
      <c r="H375" s="30">
        <f t="shared" si="47"/>
        <v>86.5821697511944</v>
      </c>
      <c r="I375" s="30">
        <f t="shared" si="45"/>
        <v>12622.542885117953</v>
      </c>
      <c r="J375" s="30">
        <f>SUM($H$18:$H375)</f>
        <v>1168403.1749862039</v>
      </c>
    </row>
    <row r="376" spans="1:10" x14ac:dyDescent="0.2">
      <c r="A376" s="33">
        <f>IF(Values_Entered,A375+1,"")</f>
        <v>359</v>
      </c>
      <c r="B376" s="32">
        <f t="shared" si="40"/>
        <v>52201</v>
      </c>
      <c r="C376" s="30">
        <f t="shared" si="46"/>
        <v>12622.542885117953</v>
      </c>
      <c r="D376" s="30">
        <f t="shared" si="41"/>
        <v>6354.694503075656</v>
      </c>
      <c r="E376" s="31">
        <f t="shared" si="42"/>
        <v>0</v>
      </c>
      <c r="F376" s="30">
        <f t="shared" si="43"/>
        <v>6354.694503075656</v>
      </c>
      <c r="G376" s="30">
        <f t="shared" si="44"/>
        <v>6296.8411815188656</v>
      </c>
      <c r="H376" s="30">
        <f t="shared" si="47"/>
        <v>57.853321556790625</v>
      </c>
      <c r="I376" s="30">
        <f t="shared" si="45"/>
        <v>6325.7017035990875</v>
      </c>
      <c r="J376" s="30">
        <f>SUM($H$18:$H376)</f>
        <v>1168461.0283077606</v>
      </c>
    </row>
    <row r="377" spans="1:10" x14ac:dyDescent="0.2">
      <c r="A377" s="33">
        <f>IF(Values_Entered,A376+1,"")</f>
        <v>360</v>
      </c>
      <c r="B377" s="32">
        <f t="shared" si="40"/>
        <v>52231</v>
      </c>
      <c r="C377" s="30">
        <f t="shared" si="46"/>
        <v>6325.7017035990875</v>
      </c>
      <c r="D377" s="30">
        <f t="shared" si="41"/>
        <v>6354.694503075656</v>
      </c>
      <c r="E377" s="31">
        <f t="shared" si="42"/>
        <v>0</v>
      </c>
      <c r="F377" s="30">
        <f t="shared" si="43"/>
        <v>6325.7017035990875</v>
      </c>
      <c r="G377" s="30">
        <f t="shared" si="44"/>
        <v>6296.708904124258</v>
      </c>
      <c r="H377" s="30">
        <f t="shared" si="47"/>
        <v>28.992799474829152</v>
      </c>
      <c r="I377" s="30">
        <f t="shared" si="45"/>
        <v>0</v>
      </c>
      <c r="J377" s="30">
        <f>SUM($H$18:$H377)</f>
        <v>1168490.0211072355</v>
      </c>
    </row>
    <row r="378" spans="1:10" x14ac:dyDescent="0.2">
      <c r="A378" s="33">
        <f>IF(Values_Entered,A377+1,"")</f>
        <v>361</v>
      </c>
      <c r="B378" s="32">
        <f t="shared" si="40"/>
        <v>52262</v>
      </c>
      <c r="C378" s="30">
        <f t="shared" si="46"/>
        <v>0</v>
      </c>
      <c r="D378" s="30">
        <f t="shared" si="41"/>
        <v>6354.694503075656</v>
      </c>
      <c r="E378" s="31">
        <f t="shared" si="42"/>
        <v>0</v>
      </c>
      <c r="F378" s="30">
        <f t="shared" si="43"/>
        <v>0</v>
      </c>
      <c r="G378" s="30">
        <f t="shared" si="44"/>
        <v>0</v>
      </c>
      <c r="H378" s="30">
        <f t="shared" si="47"/>
        <v>0</v>
      </c>
      <c r="I378" s="30">
        <f t="shared" si="45"/>
        <v>0</v>
      </c>
      <c r="J378" s="30">
        <f>SUM($H$18:$H378)</f>
        <v>1168490.0211072355</v>
      </c>
    </row>
    <row r="379" spans="1:10" x14ac:dyDescent="0.2">
      <c r="A379" s="33">
        <f>IF(Values_Entered,A378+1,"")</f>
        <v>362</v>
      </c>
      <c r="B379" s="32">
        <f t="shared" si="40"/>
        <v>52293</v>
      </c>
      <c r="C379" s="30">
        <f t="shared" si="46"/>
        <v>0</v>
      </c>
      <c r="D379" s="30">
        <f t="shared" si="41"/>
        <v>6354.694503075656</v>
      </c>
      <c r="E379" s="31">
        <f t="shared" si="42"/>
        <v>0</v>
      </c>
      <c r="F379" s="30">
        <f t="shared" si="43"/>
        <v>0</v>
      </c>
      <c r="G379" s="30">
        <f t="shared" si="44"/>
        <v>0</v>
      </c>
      <c r="H379" s="30">
        <f t="shared" si="47"/>
        <v>0</v>
      </c>
      <c r="I379" s="30">
        <f t="shared" si="45"/>
        <v>0</v>
      </c>
      <c r="J379" s="30">
        <f>SUM($H$18:$H379)</f>
        <v>1168490.0211072355</v>
      </c>
    </row>
    <row r="380" spans="1:10" x14ac:dyDescent="0.2">
      <c r="A380" s="33">
        <f>IF(Values_Entered,A379+1,"")</f>
        <v>363</v>
      </c>
      <c r="B380" s="32">
        <f t="shared" si="40"/>
        <v>52321</v>
      </c>
      <c r="C380" s="30">
        <f t="shared" si="46"/>
        <v>0</v>
      </c>
      <c r="D380" s="30">
        <f t="shared" si="41"/>
        <v>6354.694503075656</v>
      </c>
      <c r="E380" s="31">
        <f t="shared" si="42"/>
        <v>0</v>
      </c>
      <c r="F380" s="30">
        <f t="shared" si="43"/>
        <v>0</v>
      </c>
      <c r="G380" s="30">
        <f t="shared" si="44"/>
        <v>0</v>
      </c>
      <c r="H380" s="30">
        <f t="shared" si="47"/>
        <v>0</v>
      </c>
      <c r="I380" s="30">
        <f t="shared" si="45"/>
        <v>0</v>
      </c>
      <c r="J380" s="30">
        <f>SUM($H$18:$H380)</f>
        <v>1168490.0211072355</v>
      </c>
    </row>
    <row r="381" spans="1:10" x14ac:dyDescent="0.2">
      <c r="A381" s="33">
        <f>IF(Values_Entered,A380+1,"")</f>
        <v>364</v>
      </c>
      <c r="B381" s="32">
        <f t="shared" si="40"/>
        <v>52352</v>
      </c>
      <c r="C381" s="30">
        <f t="shared" si="46"/>
        <v>0</v>
      </c>
      <c r="D381" s="30">
        <f t="shared" si="41"/>
        <v>6354.694503075656</v>
      </c>
      <c r="E381" s="31">
        <f t="shared" si="42"/>
        <v>0</v>
      </c>
      <c r="F381" s="30">
        <f t="shared" si="43"/>
        <v>0</v>
      </c>
      <c r="G381" s="30">
        <f t="shared" si="44"/>
        <v>0</v>
      </c>
      <c r="H381" s="30">
        <f t="shared" si="47"/>
        <v>0</v>
      </c>
      <c r="I381" s="30">
        <f t="shared" si="45"/>
        <v>0</v>
      </c>
      <c r="J381" s="30">
        <f>SUM($H$18:$H381)</f>
        <v>1168490.0211072355</v>
      </c>
    </row>
    <row r="382" spans="1:10" x14ac:dyDescent="0.2">
      <c r="A382" s="33">
        <f>IF(Values_Entered,A381+1,"")</f>
        <v>365</v>
      </c>
      <c r="B382" s="32">
        <f t="shared" si="40"/>
        <v>52382</v>
      </c>
      <c r="C382" s="30">
        <f t="shared" si="46"/>
        <v>0</v>
      </c>
      <c r="D382" s="30">
        <f t="shared" si="41"/>
        <v>6354.694503075656</v>
      </c>
      <c r="E382" s="31">
        <f t="shared" si="42"/>
        <v>0</v>
      </c>
      <c r="F382" s="30">
        <f t="shared" si="43"/>
        <v>0</v>
      </c>
      <c r="G382" s="30">
        <f t="shared" si="44"/>
        <v>0</v>
      </c>
      <c r="H382" s="30">
        <f t="shared" si="47"/>
        <v>0</v>
      </c>
      <c r="I382" s="30">
        <f t="shared" si="45"/>
        <v>0</v>
      </c>
      <c r="J382" s="30">
        <f>SUM($H$18:$H382)</f>
        <v>1168490.0211072355</v>
      </c>
    </row>
    <row r="383" spans="1:10" x14ac:dyDescent="0.2">
      <c r="A383" s="33">
        <f>IF(Values_Entered,A382+1,"")</f>
        <v>366</v>
      </c>
      <c r="B383" s="32">
        <f t="shared" si="40"/>
        <v>52413</v>
      </c>
      <c r="C383" s="30">
        <f t="shared" si="46"/>
        <v>0</v>
      </c>
      <c r="D383" s="30">
        <f t="shared" si="41"/>
        <v>6354.694503075656</v>
      </c>
      <c r="E383" s="31">
        <f t="shared" si="42"/>
        <v>0</v>
      </c>
      <c r="F383" s="30">
        <f t="shared" si="43"/>
        <v>0</v>
      </c>
      <c r="G383" s="30">
        <f t="shared" si="44"/>
        <v>0</v>
      </c>
      <c r="H383" s="30">
        <f t="shared" si="47"/>
        <v>0</v>
      </c>
      <c r="I383" s="30">
        <f t="shared" si="45"/>
        <v>0</v>
      </c>
      <c r="J383" s="30">
        <f>SUM($H$18:$H383)</f>
        <v>1168490.0211072355</v>
      </c>
    </row>
    <row r="384" spans="1:10" x14ac:dyDescent="0.2">
      <c r="A384" s="33">
        <f>IF(Values_Entered,A383+1,"")</f>
        <v>367</v>
      </c>
      <c r="B384" s="32">
        <f t="shared" si="40"/>
        <v>52443</v>
      </c>
      <c r="C384" s="30">
        <f t="shared" si="46"/>
        <v>0</v>
      </c>
      <c r="D384" s="30">
        <f t="shared" si="41"/>
        <v>6354.694503075656</v>
      </c>
      <c r="E384" s="31">
        <f t="shared" si="42"/>
        <v>0</v>
      </c>
      <c r="F384" s="30">
        <f t="shared" si="43"/>
        <v>0</v>
      </c>
      <c r="G384" s="30">
        <f t="shared" si="44"/>
        <v>0</v>
      </c>
      <c r="H384" s="30">
        <f t="shared" si="47"/>
        <v>0</v>
      </c>
      <c r="I384" s="30">
        <f t="shared" si="45"/>
        <v>0</v>
      </c>
      <c r="J384" s="30">
        <f>SUM($H$18:$H384)</f>
        <v>1168490.0211072355</v>
      </c>
    </row>
    <row r="385" spans="1:10" x14ac:dyDescent="0.2">
      <c r="A385" s="33">
        <f>IF(Values_Entered,A384+1,"")</f>
        <v>368</v>
      </c>
      <c r="B385" s="32">
        <f t="shared" si="40"/>
        <v>52474</v>
      </c>
      <c r="C385" s="30">
        <f t="shared" si="46"/>
        <v>0</v>
      </c>
      <c r="D385" s="30">
        <f t="shared" si="41"/>
        <v>6354.694503075656</v>
      </c>
      <c r="E385" s="31">
        <f t="shared" si="42"/>
        <v>0</v>
      </c>
      <c r="F385" s="30">
        <f t="shared" si="43"/>
        <v>0</v>
      </c>
      <c r="G385" s="30">
        <f t="shared" si="44"/>
        <v>0</v>
      </c>
      <c r="H385" s="30">
        <f t="shared" si="47"/>
        <v>0</v>
      </c>
      <c r="I385" s="30">
        <f t="shared" si="45"/>
        <v>0</v>
      </c>
      <c r="J385" s="30">
        <f>SUM($H$18:$H385)</f>
        <v>1168490.0211072355</v>
      </c>
    </row>
    <row r="386" spans="1:10" x14ac:dyDescent="0.2">
      <c r="A386" s="33">
        <f>IF(Values_Entered,A385+1,"")</f>
        <v>369</v>
      </c>
      <c r="B386" s="32">
        <f t="shared" si="40"/>
        <v>52505</v>
      </c>
      <c r="C386" s="30">
        <f t="shared" si="46"/>
        <v>0</v>
      </c>
      <c r="D386" s="30">
        <f t="shared" si="41"/>
        <v>6354.694503075656</v>
      </c>
      <c r="E386" s="31">
        <f t="shared" si="42"/>
        <v>0</v>
      </c>
      <c r="F386" s="30">
        <f t="shared" si="43"/>
        <v>0</v>
      </c>
      <c r="G386" s="30">
        <f t="shared" si="44"/>
        <v>0</v>
      </c>
      <c r="H386" s="30">
        <f t="shared" si="47"/>
        <v>0</v>
      </c>
      <c r="I386" s="30">
        <f t="shared" si="45"/>
        <v>0</v>
      </c>
      <c r="J386" s="30">
        <f>SUM($H$18:$H386)</f>
        <v>1168490.0211072355</v>
      </c>
    </row>
    <row r="387" spans="1:10" x14ac:dyDescent="0.2">
      <c r="A387" s="33">
        <f>IF(Values_Entered,A386+1,"")</f>
        <v>370</v>
      </c>
      <c r="B387" s="32">
        <f t="shared" si="40"/>
        <v>52535</v>
      </c>
      <c r="C387" s="30">
        <f t="shared" si="46"/>
        <v>0</v>
      </c>
      <c r="D387" s="30">
        <f t="shared" si="41"/>
        <v>6354.694503075656</v>
      </c>
      <c r="E387" s="31">
        <f t="shared" si="42"/>
        <v>0</v>
      </c>
      <c r="F387" s="30">
        <f t="shared" si="43"/>
        <v>0</v>
      </c>
      <c r="G387" s="30">
        <f t="shared" si="44"/>
        <v>0</v>
      </c>
      <c r="H387" s="30">
        <f t="shared" si="47"/>
        <v>0</v>
      </c>
      <c r="I387" s="30">
        <f t="shared" si="45"/>
        <v>0</v>
      </c>
      <c r="J387" s="30">
        <f>SUM($H$18:$H387)</f>
        <v>1168490.0211072355</v>
      </c>
    </row>
    <row r="388" spans="1:10" x14ac:dyDescent="0.2">
      <c r="A388" s="33">
        <f>IF(Values_Entered,A387+1,"")</f>
        <v>371</v>
      </c>
      <c r="B388" s="32">
        <f t="shared" si="40"/>
        <v>52566</v>
      </c>
      <c r="C388" s="30">
        <f t="shared" si="46"/>
        <v>0</v>
      </c>
      <c r="D388" s="30">
        <f t="shared" si="41"/>
        <v>6354.694503075656</v>
      </c>
      <c r="E388" s="31">
        <f t="shared" si="42"/>
        <v>0</v>
      </c>
      <c r="F388" s="30">
        <f t="shared" si="43"/>
        <v>0</v>
      </c>
      <c r="G388" s="30">
        <f t="shared" si="44"/>
        <v>0</v>
      </c>
      <c r="H388" s="30">
        <f t="shared" si="47"/>
        <v>0</v>
      </c>
      <c r="I388" s="30">
        <f t="shared" si="45"/>
        <v>0</v>
      </c>
      <c r="J388" s="30">
        <f>SUM($H$18:$H388)</f>
        <v>1168490.0211072355</v>
      </c>
    </row>
    <row r="389" spans="1:10" x14ac:dyDescent="0.2">
      <c r="A389" s="33">
        <f>IF(Values_Entered,A388+1,"")</f>
        <v>372</v>
      </c>
      <c r="B389" s="32">
        <f t="shared" si="40"/>
        <v>52596</v>
      </c>
      <c r="C389" s="30">
        <f t="shared" si="46"/>
        <v>0</v>
      </c>
      <c r="D389" s="30">
        <f t="shared" si="41"/>
        <v>6354.694503075656</v>
      </c>
      <c r="E389" s="31">
        <f t="shared" si="42"/>
        <v>0</v>
      </c>
      <c r="F389" s="30">
        <f t="shared" si="43"/>
        <v>0</v>
      </c>
      <c r="G389" s="30">
        <f t="shared" si="44"/>
        <v>0</v>
      </c>
      <c r="H389" s="30">
        <f t="shared" si="47"/>
        <v>0</v>
      </c>
      <c r="I389" s="30">
        <f t="shared" si="45"/>
        <v>0</v>
      </c>
      <c r="J389" s="30">
        <f>SUM($H$18:$H389)</f>
        <v>1168490.0211072355</v>
      </c>
    </row>
    <row r="390" spans="1:10" x14ac:dyDescent="0.2">
      <c r="A390" s="33">
        <f>IF(Values_Entered,A389+1,"")</f>
        <v>373</v>
      </c>
      <c r="B390" s="32">
        <f t="shared" si="40"/>
        <v>52627</v>
      </c>
      <c r="C390" s="30">
        <f t="shared" si="46"/>
        <v>0</v>
      </c>
      <c r="D390" s="30">
        <f t="shared" si="41"/>
        <v>6354.694503075656</v>
      </c>
      <c r="E390" s="31">
        <f t="shared" si="42"/>
        <v>0</v>
      </c>
      <c r="F390" s="30">
        <f t="shared" si="43"/>
        <v>0</v>
      </c>
      <c r="G390" s="30">
        <f t="shared" si="44"/>
        <v>0</v>
      </c>
      <c r="H390" s="30">
        <f t="shared" si="47"/>
        <v>0</v>
      </c>
      <c r="I390" s="30">
        <f t="shared" si="45"/>
        <v>0</v>
      </c>
      <c r="J390" s="30">
        <f>SUM($H$18:$H390)</f>
        <v>1168490.0211072355</v>
      </c>
    </row>
    <row r="391" spans="1:10" x14ac:dyDescent="0.2">
      <c r="A391" s="33">
        <f>IF(Values_Entered,A390+1,"")</f>
        <v>374</v>
      </c>
      <c r="B391" s="32">
        <f t="shared" si="40"/>
        <v>52658</v>
      </c>
      <c r="C391" s="30">
        <f t="shared" si="46"/>
        <v>0</v>
      </c>
      <c r="D391" s="30">
        <f t="shared" si="41"/>
        <v>6354.694503075656</v>
      </c>
      <c r="E391" s="31">
        <f t="shared" si="42"/>
        <v>0</v>
      </c>
      <c r="F391" s="30">
        <f t="shared" si="43"/>
        <v>0</v>
      </c>
      <c r="G391" s="30">
        <f t="shared" si="44"/>
        <v>0</v>
      </c>
      <c r="H391" s="30">
        <f t="shared" si="47"/>
        <v>0</v>
      </c>
      <c r="I391" s="30">
        <f t="shared" si="45"/>
        <v>0</v>
      </c>
      <c r="J391" s="30">
        <f>SUM($H$18:$H391)</f>
        <v>1168490.0211072355</v>
      </c>
    </row>
    <row r="392" spans="1:10" x14ac:dyDescent="0.2">
      <c r="A392" s="33">
        <f>IF(Values_Entered,A391+1,"")</f>
        <v>375</v>
      </c>
      <c r="B392" s="32">
        <f t="shared" si="40"/>
        <v>52687</v>
      </c>
      <c r="C392" s="30">
        <f t="shared" si="46"/>
        <v>0</v>
      </c>
      <c r="D392" s="30">
        <f t="shared" si="41"/>
        <v>6354.694503075656</v>
      </c>
      <c r="E392" s="31">
        <f t="shared" si="42"/>
        <v>0</v>
      </c>
      <c r="F392" s="30">
        <f t="shared" si="43"/>
        <v>0</v>
      </c>
      <c r="G392" s="30">
        <f t="shared" si="44"/>
        <v>0</v>
      </c>
      <c r="H392" s="30">
        <f t="shared" si="47"/>
        <v>0</v>
      </c>
      <c r="I392" s="30">
        <f t="shared" si="45"/>
        <v>0</v>
      </c>
      <c r="J392" s="30">
        <f>SUM($H$18:$H392)</f>
        <v>1168490.0211072355</v>
      </c>
    </row>
    <row r="393" spans="1:10" x14ac:dyDescent="0.2">
      <c r="A393" s="33">
        <f>IF(Values_Entered,A392+1,"")</f>
        <v>376</v>
      </c>
      <c r="B393" s="32">
        <f t="shared" si="40"/>
        <v>52718</v>
      </c>
      <c r="C393" s="30">
        <f t="shared" si="46"/>
        <v>0</v>
      </c>
      <c r="D393" s="30">
        <f t="shared" si="41"/>
        <v>6354.694503075656</v>
      </c>
      <c r="E393" s="31">
        <f t="shared" si="42"/>
        <v>0</v>
      </c>
      <c r="F393" s="30">
        <f t="shared" si="43"/>
        <v>0</v>
      </c>
      <c r="G393" s="30">
        <f t="shared" si="44"/>
        <v>0</v>
      </c>
      <c r="H393" s="30">
        <f t="shared" si="47"/>
        <v>0</v>
      </c>
      <c r="I393" s="30">
        <f t="shared" si="45"/>
        <v>0</v>
      </c>
      <c r="J393" s="30">
        <f>SUM($H$18:$H393)</f>
        <v>1168490.0211072355</v>
      </c>
    </row>
    <row r="394" spans="1:10" x14ac:dyDescent="0.2">
      <c r="A394" s="33">
        <f>IF(Values_Entered,A393+1,"")</f>
        <v>377</v>
      </c>
      <c r="B394" s="32">
        <f t="shared" si="40"/>
        <v>52748</v>
      </c>
      <c r="C394" s="30">
        <f t="shared" si="46"/>
        <v>0</v>
      </c>
      <c r="D394" s="30">
        <f t="shared" si="41"/>
        <v>6354.694503075656</v>
      </c>
      <c r="E394" s="31">
        <f t="shared" si="42"/>
        <v>0</v>
      </c>
      <c r="F394" s="30">
        <f t="shared" si="43"/>
        <v>0</v>
      </c>
      <c r="G394" s="30">
        <f t="shared" si="44"/>
        <v>0</v>
      </c>
      <c r="H394" s="30">
        <f t="shared" si="47"/>
        <v>0</v>
      </c>
      <c r="I394" s="30">
        <f t="shared" si="45"/>
        <v>0</v>
      </c>
      <c r="J394" s="30">
        <f>SUM($H$18:$H394)</f>
        <v>1168490.0211072355</v>
      </c>
    </row>
    <row r="395" spans="1:10" x14ac:dyDescent="0.2">
      <c r="A395" s="33">
        <f>IF(Values_Entered,A394+1,"")</f>
        <v>378</v>
      </c>
      <c r="B395" s="32">
        <f t="shared" si="40"/>
        <v>52779</v>
      </c>
      <c r="C395" s="30">
        <f t="shared" si="46"/>
        <v>0</v>
      </c>
      <c r="D395" s="30">
        <f t="shared" si="41"/>
        <v>6354.694503075656</v>
      </c>
      <c r="E395" s="31">
        <f t="shared" si="42"/>
        <v>0</v>
      </c>
      <c r="F395" s="30">
        <f t="shared" si="43"/>
        <v>0</v>
      </c>
      <c r="G395" s="30">
        <f t="shared" si="44"/>
        <v>0</v>
      </c>
      <c r="H395" s="30">
        <f t="shared" si="47"/>
        <v>0</v>
      </c>
      <c r="I395" s="30">
        <f t="shared" si="45"/>
        <v>0</v>
      </c>
      <c r="J395" s="30">
        <f>SUM($H$18:$H395)</f>
        <v>1168490.0211072355</v>
      </c>
    </row>
    <row r="396" spans="1:10" x14ac:dyDescent="0.2">
      <c r="A396" s="33">
        <f>IF(Values_Entered,A395+1,"")</f>
        <v>379</v>
      </c>
      <c r="B396" s="32">
        <f t="shared" si="40"/>
        <v>52809</v>
      </c>
      <c r="C396" s="30">
        <f t="shared" si="46"/>
        <v>0</v>
      </c>
      <c r="D396" s="30">
        <f t="shared" si="41"/>
        <v>6354.694503075656</v>
      </c>
      <c r="E396" s="31">
        <f t="shared" si="42"/>
        <v>0</v>
      </c>
      <c r="F396" s="30">
        <f t="shared" si="43"/>
        <v>0</v>
      </c>
      <c r="G396" s="30">
        <f t="shared" si="44"/>
        <v>0</v>
      </c>
      <c r="H396" s="30">
        <f t="shared" si="47"/>
        <v>0</v>
      </c>
      <c r="I396" s="30">
        <f t="shared" si="45"/>
        <v>0</v>
      </c>
      <c r="J396" s="30">
        <f>SUM($H$18:$H396)</f>
        <v>1168490.0211072355</v>
      </c>
    </row>
    <row r="397" spans="1:10" x14ac:dyDescent="0.2">
      <c r="A397" s="33">
        <f>IF(Values_Entered,A396+1,"")</f>
        <v>380</v>
      </c>
      <c r="B397" s="32">
        <f t="shared" si="40"/>
        <v>52840</v>
      </c>
      <c r="C397" s="30">
        <f t="shared" si="46"/>
        <v>0</v>
      </c>
      <c r="D397" s="30">
        <f t="shared" si="41"/>
        <v>6354.694503075656</v>
      </c>
      <c r="E397" s="31">
        <f t="shared" si="42"/>
        <v>0</v>
      </c>
      <c r="F397" s="30">
        <f t="shared" si="43"/>
        <v>0</v>
      </c>
      <c r="G397" s="30">
        <f t="shared" si="44"/>
        <v>0</v>
      </c>
      <c r="H397" s="30">
        <f t="shared" si="47"/>
        <v>0</v>
      </c>
      <c r="I397" s="30">
        <f t="shared" si="45"/>
        <v>0</v>
      </c>
      <c r="J397" s="30">
        <f>SUM($H$18:$H397)</f>
        <v>1168490.0211072355</v>
      </c>
    </row>
    <row r="398" spans="1:10" x14ac:dyDescent="0.2">
      <c r="A398" s="33">
        <f>IF(Values_Entered,A397+1,"")</f>
        <v>381</v>
      </c>
      <c r="B398" s="32">
        <f t="shared" si="40"/>
        <v>52871</v>
      </c>
      <c r="C398" s="30">
        <f t="shared" si="46"/>
        <v>0</v>
      </c>
      <c r="D398" s="30">
        <f t="shared" si="41"/>
        <v>6354.694503075656</v>
      </c>
      <c r="E398" s="31">
        <f t="shared" si="42"/>
        <v>0</v>
      </c>
      <c r="F398" s="30">
        <f t="shared" si="43"/>
        <v>0</v>
      </c>
      <c r="G398" s="30">
        <f t="shared" si="44"/>
        <v>0</v>
      </c>
      <c r="H398" s="30">
        <f t="shared" si="47"/>
        <v>0</v>
      </c>
      <c r="I398" s="30">
        <f t="shared" si="45"/>
        <v>0</v>
      </c>
      <c r="J398" s="30">
        <f>SUM($H$18:$H398)</f>
        <v>1168490.0211072355</v>
      </c>
    </row>
    <row r="399" spans="1:10" x14ac:dyDescent="0.2">
      <c r="A399" s="33">
        <f>IF(Values_Entered,A398+1,"")</f>
        <v>382</v>
      </c>
      <c r="B399" s="32">
        <f t="shared" si="40"/>
        <v>52901</v>
      </c>
      <c r="C399" s="30">
        <f t="shared" si="46"/>
        <v>0</v>
      </c>
      <c r="D399" s="30">
        <f t="shared" si="41"/>
        <v>6354.694503075656</v>
      </c>
      <c r="E399" s="31">
        <f t="shared" si="42"/>
        <v>0</v>
      </c>
      <c r="F399" s="30">
        <f t="shared" si="43"/>
        <v>0</v>
      </c>
      <c r="G399" s="30">
        <f t="shared" si="44"/>
        <v>0</v>
      </c>
      <c r="H399" s="30">
        <f t="shared" si="47"/>
        <v>0</v>
      </c>
      <c r="I399" s="30">
        <f t="shared" si="45"/>
        <v>0</v>
      </c>
      <c r="J399" s="30">
        <f>SUM($H$18:$H399)</f>
        <v>1168490.0211072355</v>
      </c>
    </row>
    <row r="400" spans="1:10" x14ac:dyDescent="0.2">
      <c r="A400" s="33">
        <f>IF(Values_Entered,A399+1,"")</f>
        <v>383</v>
      </c>
      <c r="B400" s="32">
        <f t="shared" si="40"/>
        <v>52932</v>
      </c>
      <c r="C400" s="30">
        <f t="shared" si="46"/>
        <v>0</v>
      </c>
      <c r="D400" s="30">
        <f t="shared" si="41"/>
        <v>6354.694503075656</v>
      </c>
      <c r="E400" s="31">
        <f t="shared" si="42"/>
        <v>0</v>
      </c>
      <c r="F400" s="30">
        <f t="shared" si="43"/>
        <v>0</v>
      </c>
      <c r="G400" s="30">
        <f t="shared" si="44"/>
        <v>0</v>
      </c>
      <c r="H400" s="30">
        <f t="shared" si="47"/>
        <v>0</v>
      </c>
      <c r="I400" s="30">
        <f t="shared" si="45"/>
        <v>0</v>
      </c>
      <c r="J400" s="30">
        <f>SUM($H$18:$H400)</f>
        <v>1168490.0211072355</v>
      </c>
    </row>
    <row r="401" spans="1:10" x14ac:dyDescent="0.2">
      <c r="A401" s="33">
        <f>IF(Values_Entered,A400+1,"")</f>
        <v>384</v>
      </c>
      <c r="B401" s="32">
        <f t="shared" si="40"/>
        <v>52962</v>
      </c>
      <c r="C401" s="30">
        <f t="shared" si="46"/>
        <v>0</v>
      </c>
      <c r="D401" s="30">
        <f t="shared" si="41"/>
        <v>6354.694503075656</v>
      </c>
      <c r="E401" s="31">
        <f t="shared" si="42"/>
        <v>0</v>
      </c>
      <c r="F401" s="30">
        <f t="shared" si="43"/>
        <v>0</v>
      </c>
      <c r="G401" s="30">
        <f t="shared" si="44"/>
        <v>0</v>
      </c>
      <c r="H401" s="30">
        <f t="shared" si="47"/>
        <v>0</v>
      </c>
      <c r="I401" s="30">
        <f t="shared" si="45"/>
        <v>0</v>
      </c>
      <c r="J401" s="30">
        <f>SUM($H$18:$H401)</f>
        <v>1168490.0211072355</v>
      </c>
    </row>
    <row r="402" spans="1:10" x14ac:dyDescent="0.2">
      <c r="A402" s="33">
        <f>IF(Values_Entered,A401+1,"")</f>
        <v>385</v>
      </c>
      <c r="B402" s="32">
        <f t="shared" ref="B402:B465" si="48">IF(Pay_Num&lt;&gt;"",DATE(YEAR(Loan_Start),MONTH(Loan_Start)+(Pay_Num)*12/Num_Pmt_Per_Year,DAY(Loan_Start)),"")</f>
        <v>52993</v>
      </c>
      <c r="C402" s="30">
        <f t="shared" si="46"/>
        <v>0</v>
      </c>
      <c r="D402" s="30">
        <f t="shared" ref="D402:D465" si="49">IF(Pay_Num&lt;&gt;"",Scheduled_Monthly_Payment,"")</f>
        <v>6354.694503075656</v>
      </c>
      <c r="E402" s="31">
        <f t="shared" ref="E402:E465" si="50">IF(AND(Pay_Num&lt;&gt;"",Sched_Pay+Scheduled_Extra_Payments&lt;Beg_Bal),Scheduled_Extra_Payments,IF(AND(Pay_Num&lt;&gt;"",Beg_Bal-Sched_Pay&gt;0),Beg_Bal-Sched_Pay,IF(Pay_Num&lt;&gt;"",0,"")))</f>
        <v>0</v>
      </c>
      <c r="F402" s="30">
        <f t="shared" ref="F402:F465" si="51">IF(AND(Pay_Num&lt;&gt;"",Sched_Pay+Extra_Pay&lt;Beg_Bal),Sched_Pay+Extra_Pay,IF(Pay_Num&lt;&gt;"",Beg_Bal,""))</f>
        <v>0</v>
      </c>
      <c r="G402" s="30">
        <f t="shared" ref="G402:G465" si="52">IF(Pay_Num&lt;&gt;"",Total_Pay-Int,"")</f>
        <v>0</v>
      </c>
      <c r="H402" s="30">
        <f t="shared" si="47"/>
        <v>0</v>
      </c>
      <c r="I402" s="30">
        <f t="shared" ref="I402:I465" si="53">IF(AND(Pay_Num&lt;&gt;"",Sched_Pay+Extra_Pay&lt;Beg_Bal),Beg_Bal-Princ,IF(Pay_Num&lt;&gt;"",0,""))</f>
        <v>0</v>
      </c>
      <c r="J402" s="30">
        <f>SUM($H$18:$H402)</f>
        <v>1168490.0211072355</v>
      </c>
    </row>
    <row r="403" spans="1:10" x14ac:dyDescent="0.2">
      <c r="A403" s="33">
        <f>IF(Values_Entered,A402+1,"")</f>
        <v>386</v>
      </c>
      <c r="B403" s="32">
        <f t="shared" si="48"/>
        <v>53024</v>
      </c>
      <c r="C403" s="30">
        <f t="shared" ref="C403:C466" si="54">IF(Pay_Num&lt;&gt;"",I402,"")</f>
        <v>0</v>
      </c>
      <c r="D403" s="30">
        <f t="shared" si="49"/>
        <v>6354.694503075656</v>
      </c>
      <c r="E403" s="31">
        <f t="shared" si="50"/>
        <v>0</v>
      </c>
      <c r="F403" s="30">
        <f t="shared" si="51"/>
        <v>0</v>
      </c>
      <c r="G403" s="30">
        <f t="shared" si="52"/>
        <v>0</v>
      </c>
      <c r="H403" s="30">
        <f t="shared" ref="H403:H466" si="55">IF(Pay_Num&lt;&gt;"",Beg_Bal*Interest_Rate/Num_Pmt_Per_Year,"")</f>
        <v>0</v>
      </c>
      <c r="I403" s="30">
        <f t="shared" si="53"/>
        <v>0</v>
      </c>
      <c r="J403" s="30">
        <f>SUM($H$18:$H403)</f>
        <v>1168490.0211072355</v>
      </c>
    </row>
    <row r="404" spans="1:10" x14ac:dyDescent="0.2">
      <c r="A404" s="33">
        <f>IF(Values_Entered,A403+1,"")</f>
        <v>387</v>
      </c>
      <c r="B404" s="32">
        <f t="shared" si="48"/>
        <v>53052</v>
      </c>
      <c r="C404" s="30">
        <f t="shared" si="54"/>
        <v>0</v>
      </c>
      <c r="D404" s="30">
        <f t="shared" si="49"/>
        <v>6354.694503075656</v>
      </c>
      <c r="E404" s="31">
        <f t="shared" si="50"/>
        <v>0</v>
      </c>
      <c r="F404" s="30">
        <f t="shared" si="51"/>
        <v>0</v>
      </c>
      <c r="G404" s="30">
        <f t="shared" si="52"/>
        <v>0</v>
      </c>
      <c r="H404" s="30">
        <f t="shared" si="55"/>
        <v>0</v>
      </c>
      <c r="I404" s="30">
        <f t="shared" si="53"/>
        <v>0</v>
      </c>
      <c r="J404" s="30">
        <f>SUM($H$18:$H404)</f>
        <v>1168490.0211072355</v>
      </c>
    </row>
    <row r="405" spans="1:10" x14ac:dyDescent="0.2">
      <c r="A405" s="33">
        <f>IF(Values_Entered,A404+1,"")</f>
        <v>388</v>
      </c>
      <c r="B405" s="32">
        <f t="shared" si="48"/>
        <v>53083</v>
      </c>
      <c r="C405" s="30">
        <f t="shared" si="54"/>
        <v>0</v>
      </c>
      <c r="D405" s="30">
        <f t="shared" si="49"/>
        <v>6354.694503075656</v>
      </c>
      <c r="E405" s="31">
        <f t="shared" si="50"/>
        <v>0</v>
      </c>
      <c r="F405" s="30">
        <f t="shared" si="51"/>
        <v>0</v>
      </c>
      <c r="G405" s="30">
        <f t="shared" si="52"/>
        <v>0</v>
      </c>
      <c r="H405" s="30">
        <f t="shared" si="55"/>
        <v>0</v>
      </c>
      <c r="I405" s="30">
        <f t="shared" si="53"/>
        <v>0</v>
      </c>
      <c r="J405" s="30">
        <f>SUM($H$18:$H405)</f>
        <v>1168490.0211072355</v>
      </c>
    </row>
    <row r="406" spans="1:10" x14ac:dyDescent="0.2">
      <c r="A406" s="33">
        <f>IF(Values_Entered,A405+1,"")</f>
        <v>389</v>
      </c>
      <c r="B406" s="32">
        <f t="shared" si="48"/>
        <v>53113</v>
      </c>
      <c r="C406" s="30">
        <f t="shared" si="54"/>
        <v>0</v>
      </c>
      <c r="D406" s="30">
        <f t="shared" si="49"/>
        <v>6354.694503075656</v>
      </c>
      <c r="E406" s="31">
        <f t="shared" si="50"/>
        <v>0</v>
      </c>
      <c r="F406" s="30">
        <f t="shared" si="51"/>
        <v>0</v>
      </c>
      <c r="G406" s="30">
        <f t="shared" si="52"/>
        <v>0</v>
      </c>
      <c r="H406" s="30">
        <f t="shared" si="55"/>
        <v>0</v>
      </c>
      <c r="I406" s="30">
        <f t="shared" si="53"/>
        <v>0</v>
      </c>
      <c r="J406" s="30">
        <f>SUM($H$18:$H406)</f>
        <v>1168490.0211072355</v>
      </c>
    </row>
    <row r="407" spans="1:10" x14ac:dyDescent="0.2">
      <c r="A407" s="33">
        <f>IF(Values_Entered,A406+1,"")</f>
        <v>390</v>
      </c>
      <c r="B407" s="32">
        <f t="shared" si="48"/>
        <v>53144</v>
      </c>
      <c r="C407" s="30">
        <f t="shared" si="54"/>
        <v>0</v>
      </c>
      <c r="D407" s="30">
        <f t="shared" si="49"/>
        <v>6354.694503075656</v>
      </c>
      <c r="E407" s="31">
        <f t="shared" si="50"/>
        <v>0</v>
      </c>
      <c r="F407" s="30">
        <f t="shared" si="51"/>
        <v>0</v>
      </c>
      <c r="G407" s="30">
        <f t="shared" si="52"/>
        <v>0</v>
      </c>
      <c r="H407" s="30">
        <f t="shared" si="55"/>
        <v>0</v>
      </c>
      <c r="I407" s="30">
        <f t="shared" si="53"/>
        <v>0</v>
      </c>
      <c r="J407" s="30">
        <f>SUM($H$18:$H407)</f>
        <v>1168490.0211072355</v>
      </c>
    </row>
    <row r="408" spans="1:10" x14ac:dyDescent="0.2">
      <c r="A408" s="33">
        <f>IF(Values_Entered,A407+1,"")</f>
        <v>391</v>
      </c>
      <c r="B408" s="32">
        <f t="shared" si="48"/>
        <v>53174</v>
      </c>
      <c r="C408" s="30">
        <f t="shared" si="54"/>
        <v>0</v>
      </c>
      <c r="D408" s="30">
        <f t="shared" si="49"/>
        <v>6354.694503075656</v>
      </c>
      <c r="E408" s="31">
        <f t="shared" si="50"/>
        <v>0</v>
      </c>
      <c r="F408" s="30">
        <f t="shared" si="51"/>
        <v>0</v>
      </c>
      <c r="G408" s="30">
        <f t="shared" si="52"/>
        <v>0</v>
      </c>
      <c r="H408" s="30">
        <f t="shared" si="55"/>
        <v>0</v>
      </c>
      <c r="I408" s="30">
        <f t="shared" si="53"/>
        <v>0</v>
      </c>
      <c r="J408" s="30">
        <f>SUM($H$18:$H408)</f>
        <v>1168490.0211072355</v>
      </c>
    </row>
    <row r="409" spans="1:10" x14ac:dyDescent="0.2">
      <c r="A409" s="33">
        <f>IF(Values_Entered,A408+1,"")</f>
        <v>392</v>
      </c>
      <c r="B409" s="32">
        <f t="shared" si="48"/>
        <v>53205</v>
      </c>
      <c r="C409" s="30">
        <f t="shared" si="54"/>
        <v>0</v>
      </c>
      <c r="D409" s="30">
        <f t="shared" si="49"/>
        <v>6354.694503075656</v>
      </c>
      <c r="E409" s="31">
        <f t="shared" si="50"/>
        <v>0</v>
      </c>
      <c r="F409" s="30">
        <f t="shared" si="51"/>
        <v>0</v>
      </c>
      <c r="G409" s="30">
        <f t="shared" si="52"/>
        <v>0</v>
      </c>
      <c r="H409" s="30">
        <f t="shared" si="55"/>
        <v>0</v>
      </c>
      <c r="I409" s="30">
        <f t="shared" si="53"/>
        <v>0</v>
      </c>
      <c r="J409" s="30">
        <f>SUM($H$18:$H409)</f>
        <v>1168490.0211072355</v>
      </c>
    </row>
    <row r="410" spans="1:10" x14ac:dyDescent="0.2">
      <c r="A410" s="33">
        <f>IF(Values_Entered,A409+1,"")</f>
        <v>393</v>
      </c>
      <c r="B410" s="32">
        <f t="shared" si="48"/>
        <v>53236</v>
      </c>
      <c r="C410" s="30">
        <f t="shared" si="54"/>
        <v>0</v>
      </c>
      <c r="D410" s="30">
        <f t="shared" si="49"/>
        <v>6354.694503075656</v>
      </c>
      <c r="E410" s="31">
        <f t="shared" si="50"/>
        <v>0</v>
      </c>
      <c r="F410" s="30">
        <f t="shared" si="51"/>
        <v>0</v>
      </c>
      <c r="G410" s="30">
        <f t="shared" si="52"/>
        <v>0</v>
      </c>
      <c r="H410" s="30">
        <f t="shared" si="55"/>
        <v>0</v>
      </c>
      <c r="I410" s="30">
        <f t="shared" si="53"/>
        <v>0</v>
      </c>
      <c r="J410" s="30">
        <f>SUM($H$18:$H410)</f>
        <v>1168490.0211072355</v>
      </c>
    </row>
    <row r="411" spans="1:10" x14ac:dyDescent="0.2">
      <c r="A411" s="33">
        <f>IF(Values_Entered,A410+1,"")</f>
        <v>394</v>
      </c>
      <c r="B411" s="32">
        <f t="shared" si="48"/>
        <v>53266</v>
      </c>
      <c r="C411" s="30">
        <f t="shared" si="54"/>
        <v>0</v>
      </c>
      <c r="D411" s="30">
        <f t="shared" si="49"/>
        <v>6354.694503075656</v>
      </c>
      <c r="E411" s="31">
        <f t="shared" si="50"/>
        <v>0</v>
      </c>
      <c r="F411" s="30">
        <f t="shared" si="51"/>
        <v>0</v>
      </c>
      <c r="G411" s="30">
        <f t="shared" si="52"/>
        <v>0</v>
      </c>
      <c r="H411" s="30">
        <f t="shared" si="55"/>
        <v>0</v>
      </c>
      <c r="I411" s="30">
        <f t="shared" si="53"/>
        <v>0</v>
      </c>
      <c r="J411" s="30">
        <f>SUM($H$18:$H411)</f>
        <v>1168490.0211072355</v>
      </c>
    </row>
    <row r="412" spans="1:10" x14ac:dyDescent="0.2">
      <c r="A412" s="33">
        <f>IF(Values_Entered,A411+1,"")</f>
        <v>395</v>
      </c>
      <c r="B412" s="32">
        <f t="shared" si="48"/>
        <v>53297</v>
      </c>
      <c r="C412" s="30">
        <f t="shared" si="54"/>
        <v>0</v>
      </c>
      <c r="D412" s="30">
        <f t="shared" si="49"/>
        <v>6354.694503075656</v>
      </c>
      <c r="E412" s="31">
        <f t="shared" si="50"/>
        <v>0</v>
      </c>
      <c r="F412" s="30">
        <f t="shared" si="51"/>
        <v>0</v>
      </c>
      <c r="G412" s="30">
        <f t="shared" si="52"/>
        <v>0</v>
      </c>
      <c r="H412" s="30">
        <f t="shared" si="55"/>
        <v>0</v>
      </c>
      <c r="I412" s="30">
        <f t="shared" si="53"/>
        <v>0</v>
      </c>
      <c r="J412" s="30">
        <f>SUM($H$18:$H412)</f>
        <v>1168490.0211072355</v>
      </c>
    </row>
    <row r="413" spans="1:10" x14ac:dyDescent="0.2">
      <c r="A413" s="33">
        <f>IF(Values_Entered,A412+1,"")</f>
        <v>396</v>
      </c>
      <c r="B413" s="32">
        <f t="shared" si="48"/>
        <v>53327</v>
      </c>
      <c r="C413" s="30">
        <f t="shared" si="54"/>
        <v>0</v>
      </c>
      <c r="D413" s="30">
        <f t="shared" si="49"/>
        <v>6354.694503075656</v>
      </c>
      <c r="E413" s="31">
        <f t="shared" si="50"/>
        <v>0</v>
      </c>
      <c r="F413" s="30">
        <f t="shared" si="51"/>
        <v>0</v>
      </c>
      <c r="G413" s="30">
        <f t="shared" si="52"/>
        <v>0</v>
      </c>
      <c r="H413" s="30">
        <f t="shared" si="55"/>
        <v>0</v>
      </c>
      <c r="I413" s="30">
        <f t="shared" si="53"/>
        <v>0</v>
      </c>
      <c r="J413" s="30">
        <f>SUM($H$18:$H413)</f>
        <v>1168490.0211072355</v>
      </c>
    </row>
    <row r="414" spans="1:10" x14ac:dyDescent="0.2">
      <c r="A414" s="33">
        <f>IF(Values_Entered,A413+1,"")</f>
        <v>397</v>
      </c>
      <c r="B414" s="32">
        <f t="shared" si="48"/>
        <v>53358</v>
      </c>
      <c r="C414" s="30">
        <f t="shared" si="54"/>
        <v>0</v>
      </c>
      <c r="D414" s="30">
        <f t="shared" si="49"/>
        <v>6354.694503075656</v>
      </c>
      <c r="E414" s="31">
        <f t="shared" si="50"/>
        <v>0</v>
      </c>
      <c r="F414" s="30">
        <f t="shared" si="51"/>
        <v>0</v>
      </c>
      <c r="G414" s="30">
        <f t="shared" si="52"/>
        <v>0</v>
      </c>
      <c r="H414" s="30">
        <f t="shared" si="55"/>
        <v>0</v>
      </c>
      <c r="I414" s="30">
        <f t="shared" si="53"/>
        <v>0</v>
      </c>
      <c r="J414" s="30">
        <f>SUM($H$18:$H414)</f>
        <v>1168490.0211072355</v>
      </c>
    </row>
    <row r="415" spans="1:10" x14ac:dyDescent="0.2">
      <c r="A415" s="33">
        <f>IF(Values_Entered,A414+1,"")</f>
        <v>398</v>
      </c>
      <c r="B415" s="32">
        <f t="shared" si="48"/>
        <v>53389</v>
      </c>
      <c r="C415" s="30">
        <f t="shared" si="54"/>
        <v>0</v>
      </c>
      <c r="D415" s="30">
        <f t="shared" si="49"/>
        <v>6354.694503075656</v>
      </c>
      <c r="E415" s="31">
        <f t="shared" si="50"/>
        <v>0</v>
      </c>
      <c r="F415" s="30">
        <f t="shared" si="51"/>
        <v>0</v>
      </c>
      <c r="G415" s="30">
        <f t="shared" si="52"/>
        <v>0</v>
      </c>
      <c r="H415" s="30">
        <f t="shared" si="55"/>
        <v>0</v>
      </c>
      <c r="I415" s="30">
        <f t="shared" si="53"/>
        <v>0</v>
      </c>
      <c r="J415" s="30">
        <f>SUM($H$18:$H415)</f>
        <v>1168490.0211072355</v>
      </c>
    </row>
    <row r="416" spans="1:10" x14ac:dyDescent="0.2">
      <c r="A416" s="33">
        <f>IF(Values_Entered,A415+1,"")</f>
        <v>399</v>
      </c>
      <c r="B416" s="32">
        <f t="shared" si="48"/>
        <v>53417</v>
      </c>
      <c r="C416" s="30">
        <f t="shared" si="54"/>
        <v>0</v>
      </c>
      <c r="D416" s="30">
        <f t="shared" si="49"/>
        <v>6354.694503075656</v>
      </c>
      <c r="E416" s="31">
        <f t="shared" si="50"/>
        <v>0</v>
      </c>
      <c r="F416" s="30">
        <f t="shared" si="51"/>
        <v>0</v>
      </c>
      <c r="G416" s="30">
        <f t="shared" si="52"/>
        <v>0</v>
      </c>
      <c r="H416" s="30">
        <f t="shared" si="55"/>
        <v>0</v>
      </c>
      <c r="I416" s="30">
        <f t="shared" si="53"/>
        <v>0</v>
      </c>
      <c r="J416" s="30">
        <f>SUM($H$18:$H416)</f>
        <v>1168490.0211072355</v>
      </c>
    </row>
    <row r="417" spans="1:10" x14ac:dyDescent="0.2">
      <c r="A417" s="33">
        <f>IF(Values_Entered,A416+1,"")</f>
        <v>400</v>
      </c>
      <c r="B417" s="32">
        <f t="shared" si="48"/>
        <v>53448</v>
      </c>
      <c r="C417" s="30">
        <f t="shared" si="54"/>
        <v>0</v>
      </c>
      <c r="D417" s="30">
        <f t="shared" si="49"/>
        <v>6354.694503075656</v>
      </c>
      <c r="E417" s="31">
        <f t="shared" si="50"/>
        <v>0</v>
      </c>
      <c r="F417" s="30">
        <f t="shared" si="51"/>
        <v>0</v>
      </c>
      <c r="G417" s="30">
        <f t="shared" si="52"/>
        <v>0</v>
      </c>
      <c r="H417" s="30">
        <f t="shared" si="55"/>
        <v>0</v>
      </c>
      <c r="I417" s="30">
        <f t="shared" si="53"/>
        <v>0</v>
      </c>
      <c r="J417" s="30">
        <f>SUM($H$18:$H417)</f>
        <v>1168490.0211072355</v>
      </c>
    </row>
    <row r="418" spans="1:10" x14ac:dyDescent="0.2">
      <c r="A418" s="33">
        <f>IF(Values_Entered,A417+1,"")</f>
        <v>401</v>
      </c>
      <c r="B418" s="32">
        <f t="shared" si="48"/>
        <v>53478</v>
      </c>
      <c r="C418" s="30">
        <f t="shared" si="54"/>
        <v>0</v>
      </c>
      <c r="D418" s="30">
        <f t="shared" si="49"/>
        <v>6354.694503075656</v>
      </c>
      <c r="E418" s="31">
        <f t="shared" si="50"/>
        <v>0</v>
      </c>
      <c r="F418" s="30">
        <f t="shared" si="51"/>
        <v>0</v>
      </c>
      <c r="G418" s="30">
        <f t="shared" si="52"/>
        <v>0</v>
      </c>
      <c r="H418" s="30">
        <f t="shared" si="55"/>
        <v>0</v>
      </c>
      <c r="I418" s="30">
        <f t="shared" si="53"/>
        <v>0</v>
      </c>
      <c r="J418" s="30">
        <f>SUM($H$18:$H418)</f>
        <v>1168490.0211072355</v>
      </c>
    </row>
    <row r="419" spans="1:10" x14ac:dyDescent="0.2">
      <c r="A419" s="33">
        <f>IF(Values_Entered,A418+1,"")</f>
        <v>402</v>
      </c>
      <c r="B419" s="32">
        <f t="shared" si="48"/>
        <v>53509</v>
      </c>
      <c r="C419" s="30">
        <f t="shared" si="54"/>
        <v>0</v>
      </c>
      <c r="D419" s="30">
        <f t="shared" si="49"/>
        <v>6354.694503075656</v>
      </c>
      <c r="E419" s="31">
        <f t="shared" si="50"/>
        <v>0</v>
      </c>
      <c r="F419" s="30">
        <f t="shared" si="51"/>
        <v>0</v>
      </c>
      <c r="G419" s="30">
        <f t="shared" si="52"/>
        <v>0</v>
      </c>
      <c r="H419" s="30">
        <f t="shared" si="55"/>
        <v>0</v>
      </c>
      <c r="I419" s="30">
        <f t="shared" si="53"/>
        <v>0</v>
      </c>
      <c r="J419" s="30">
        <f>SUM($H$18:$H419)</f>
        <v>1168490.0211072355</v>
      </c>
    </row>
    <row r="420" spans="1:10" x14ac:dyDescent="0.2">
      <c r="A420" s="33">
        <f>IF(Values_Entered,A419+1,"")</f>
        <v>403</v>
      </c>
      <c r="B420" s="32">
        <f t="shared" si="48"/>
        <v>53539</v>
      </c>
      <c r="C420" s="30">
        <f t="shared" si="54"/>
        <v>0</v>
      </c>
      <c r="D420" s="30">
        <f t="shared" si="49"/>
        <v>6354.694503075656</v>
      </c>
      <c r="E420" s="31">
        <f t="shared" si="50"/>
        <v>0</v>
      </c>
      <c r="F420" s="30">
        <f t="shared" si="51"/>
        <v>0</v>
      </c>
      <c r="G420" s="30">
        <f t="shared" si="52"/>
        <v>0</v>
      </c>
      <c r="H420" s="30">
        <f t="shared" si="55"/>
        <v>0</v>
      </c>
      <c r="I420" s="30">
        <f t="shared" si="53"/>
        <v>0</v>
      </c>
      <c r="J420" s="30">
        <f>SUM($H$18:$H420)</f>
        <v>1168490.0211072355</v>
      </c>
    </row>
    <row r="421" spans="1:10" x14ac:dyDescent="0.2">
      <c r="A421" s="33">
        <f>IF(Values_Entered,A420+1,"")</f>
        <v>404</v>
      </c>
      <c r="B421" s="32">
        <f t="shared" si="48"/>
        <v>53570</v>
      </c>
      <c r="C421" s="30">
        <f t="shared" si="54"/>
        <v>0</v>
      </c>
      <c r="D421" s="30">
        <f t="shared" si="49"/>
        <v>6354.694503075656</v>
      </c>
      <c r="E421" s="31">
        <f t="shared" si="50"/>
        <v>0</v>
      </c>
      <c r="F421" s="30">
        <f t="shared" si="51"/>
        <v>0</v>
      </c>
      <c r="G421" s="30">
        <f t="shared" si="52"/>
        <v>0</v>
      </c>
      <c r="H421" s="30">
        <f t="shared" si="55"/>
        <v>0</v>
      </c>
      <c r="I421" s="30">
        <f t="shared" si="53"/>
        <v>0</v>
      </c>
      <c r="J421" s="30">
        <f>SUM($H$18:$H421)</f>
        <v>1168490.0211072355</v>
      </c>
    </row>
    <row r="422" spans="1:10" x14ac:dyDescent="0.2">
      <c r="A422" s="33">
        <f>IF(Values_Entered,A421+1,"")</f>
        <v>405</v>
      </c>
      <c r="B422" s="32">
        <f t="shared" si="48"/>
        <v>53601</v>
      </c>
      <c r="C422" s="30">
        <f t="shared" si="54"/>
        <v>0</v>
      </c>
      <c r="D422" s="30">
        <f t="shared" si="49"/>
        <v>6354.694503075656</v>
      </c>
      <c r="E422" s="31">
        <f t="shared" si="50"/>
        <v>0</v>
      </c>
      <c r="F422" s="30">
        <f t="shared" si="51"/>
        <v>0</v>
      </c>
      <c r="G422" s="30">
        <f t="shared" si="52"/>
        <v>0</v>
      </c>
      <c r="H422" s="30">
        <f t="shared" si="55"/>
        <v>0</v>
      </c>
      <c r="I422" s="30">
        <f t="shared" si="53"/>
        <v>0</v>
      </c>
      <c r="J422" s="30">
        <f>SUM($H$18:$H422)</f>
        <v>1168490.0211072355</v>
      </c>
    </row>
    <row r="423" spans="1:10" x14ac:dyDescent="0.2">
      <c r="A423" s="33">
        <f>IF(Values_Entered,A422+1,"")</f>
        <v>406</v>
      </c>
      <c r="B423" s="32">
        <f t="shared" si="48"/>
        <v>53631</v>
      </c>
      <c r="C423" s="30">
        <f t="shared" si="54"/>
        <v>0</v>
      </c>
      <c r="D423" s="30">
        <f t="shared" si="49"/>
        <v>6354.694503075656</v>
      </c>
      <c r="E423" s="31">
        <f t="shared" si="50"/>
        <v>0</v>
      </c>
      <c r="F423" s="30">
        <f t="shared" si="51"/>
        <v>0</v>
      </c>
      <c r="G423" s="30">
        <f t="shared" si="52"/>
        <v>0</v>
      </c>
      <c r="H423" s="30">
        <f t="shared" si="55"/>
        <v>0</v>
      </c>
      <c r="I423" s="30">
        <f t="shared" si="53"/>
        <v>0</v>
      </c>
      <c r="J423" s="30">
        <f>SUM($H$18:$H423)</f>
        <v>1168490.0211072355</v>
      </c>
    </row>
    <row r="424" spans="1:10" x14ac:dyDescent="0.2">
      <c r="A424" s="33">
        <f>IF(Values_Entered,A423+1,"")</f>
        <v>407</v>
      </c>
      <c r="B424" s="32">
        <f t="shared" si="48"/>
        <v>53662</v>
      </c>
      <c r="C424" s="30">
        <f t="shared" si="54"/>
        <v>0</v>
      </c>
      <c r="D424" s="30">
        <f t="shared" si="49"/>
        <v>6354.694503075656</v>
      </c>
      <c r="E424" s="31">
        <f t="shared" si="50"/>
        <v>0</v>
      </c>
      <c r="F424" s="30">
        <f t="shared" si="51"/>
        <v>0</v>
      </c>
      <c r="G424" s="30">
        <f t="shared" si="52"/>
        <v>0</v>
      </c>
      <c r="H424" s="30">
        <f t="shared" si="55"/>
        <v>0</v>
      </c>
      <c r="I424" s="30">
        <f t="shared" si="53"/>
        <v>0</v>
      </c>
      <c r="J424" s="30">
        <f>SUM($H$18:$H424)</f>
        <v>1168490.0211072355</v>
      </c>
    </row>
    <row r="425" spans="1:10" x14ac:dyDescent="0.2">
      <c r="A425" s="33">
        <f>IF(Values_Entered,A424+1,"")</f>
        <v>408</v>
      </c>
      <c r="B425" s="32">
        <f t="shared" si="48"/>
        <v>53692</v>
      </c>
      <c r="C425" s="30">
        <f t="shared" si="54"/>
        <v>0</v>
      </c>
      <c r="D425" s="30">
        <f t="shared" si="49"/>
        <v>6354.694503075656</v>
      </c>
      <c r="E425" s="31">
        <f t="shared" si="50"/>
        <v>0</v>
      </c>
      <c r="F425" s="30">
        <f t="shared" si="51"/>
        <v>0</v>
      </c>
      <c r="G425" s="30">
        <f t="shared" si="52"/>
        <v>0</v>
      </c>
      <c r="H425" s="30">
        <f t="shared" si="55"/>
        <v>0</v>
      </c>
      <c r="I425" s="30">
        <f t="shared" si="53"/>
        <v>0</v>
      </c>
      <c r="J425" s="30">
        <f>SUM($H$18:$H425)</f>
        <v>1168490.0211072355</v>
      </c>
    </row>
    <row r="426" spans="1:10" x14ac:dyDescent="0.2">
      <c r="A426" s="33">
        <f>IF(Values_Entered,A425+1,"")</f>
        <v>409</v>
      </c>
      <c r="B426" s="32">
        <f t="shared" si="48"/>
        <v>53723</v>
      </c>
      <c r="C426" s="30">
        <f t="shared" si="54"/>
        <v>0</v>
      </c>
      <c r="D426" s="30">
        <f t="shared" si="49"/>
        <v>6354.694503075656</v>
      </c>
      <c r="E426" s="31">
        <f t="shared" si="50"/>
        <v>0</v>
      </c>
      <c r="F426" s="30">
        <f t="shared" si="51"/>
        <v>0</v>
      </c>
      <c r="G426" s="30">
        <f t="shared" si="52"/>
        <v>0</v>
      </c>
      <c r="H426" s="30">
        <f t="shared" si="55"/>
        <v>0</v>
      </c>
      <c r="I426" s="30">
        <f t="shared" si="53"/>
        <v>0</v>
      </c>
      <c r="J426" s="30">
        <f>SUM($H$18:$H426)</f>
        <v>1168490.0211072355</v>
      </c>
    </row>
    <row r="427" spans="1:10" x14ac:dyDescent="0.2">
      <c r="A427" s="33">
        <f>IF(Values_Entered,A426+1,"")</f>
        <v>410</v>
      </c>
      <c r="B427" s="32">
        <f t="shared" si="48"/>
        <v>53754</v>
      </c>
      <c r="C427" s="30">
        <f t="shared" si="54"/>
        <v>0</v>
      </c>
      <c r="D427" s="30">
        <f t="shared" si="49"/>
        <v>6354.694503075656</v>
      </c>
      <c r="E427" s="31">
        <f t="shared" si="50"/>
        <v>0</v>
      </c>
      <c r="F427" s="30">
        <f t="shared" si="51"/>
        <v>0</v>
      </c>
      <c r="G427" s="30">
        <f t="shared" si="52"/>
        <v>0</v>
      </c>
      <c r="H427" s="30">
        <f t="shared" si="55"/>
        <v>0</v>
      </c>
      <c r="I427" s="30">
        <f t="shared" si="53"/>
        <v>0</v>
      </c>
      <c r="J427" s="30">
        <f>SUM($H$18:$H427)</f>
        <v>1168490.0211072355</v>
      </c>
    </row>
    <row r="428" spans="1:10" x14ac:dyDescent="0.2">
      <c r="A428" s="33">
        <f>IF(Values_Entered,A427+1,"")</f>
        <v>411</v>
      </c>
      <c r="B428" s="32">
        <f t="shared" si="48"/>
        <v>53782</v>
      </c>
      <c r="C428" s="30">
        <f t="shared" si="54"/>
        <v>0</v>
      </c>
      <c r="D428" s="30">
        <f t="shared" si="49"/>
        <v>6354.694503075656</v>
      </c>
      <c r="E428" s="31">
        <f t="shared" si="50"/>
        <v>0</v>
      </c>
      <c r="F428" s="30">
        <f t="shared" si="51"/>
        <v>0</v>
      </c>
      <c r="G428" s="30">
        <f t="shared" si="52"/>
        <v>0</v>
      </c>
      <c r="H428" s="30">
        <f t="shared" si="55"/>
        <v>0</v>
      </c>
      <c r="I428" s="30">
        <f t="shared" si="53"/>
        <v>0</v>
      </c>
      <c r="J428" s="30">
        <f>SUM($H$18:$H428)</f>
        <v>1168490.0211072355</v>
      </c>
    </row>
    <row r="429" spans="1:10" x14ac:dyDescent="0.2">
      <c r="A429" s="33">
        <f>IF(Values_Entered,A428+1,"")</f>
        <v>412</v>
      </c>
      <c r="B429" s="32">
        <f t="shared" si="48"/>
        <v>53813</v>
      </c>
      <c r="C429" s="30">
        <f t="shared" si="54"/>
        <v>0</v>
      </c>
      <c r="D429" s="30">
        <f t="shared" si="49"/>
        <v>6354.694503075656</v>
      </c>
      <c r="E429" s="31">
        <f t="shared" si="50"/>
        <v>0</v>
      </c>
      <c r="F429" s="30">
        <f t="shared" si="51"/>
        <v>0</v>
      </c>
      <c r="G429" s="30">
        <f t="shared" si="52"/>
        <v>0</v>
      </c>
      <c r="H429" s="30">
        <f t="shared" si="55"/>
        <v>0</v>
      </c>
      <c r="I429" s="30">
        <f t="shared" si="53"/>
        <v>0</v>
      </c>
      <c r="J429" s="30">
        <f>SUM($H$18:$H429)</f>
        <v>1168490.0211072355</v>
      </c>
    </row>
    <row r="430" spans="1:10" x14ac:dyDescent="0.2">
      <c r="A430" s="33">
        <f>IF(Values_Entered,A429+1,"")</f>
        <v>413</v>
      </c>
      <c r="B430" s="32">
        <f t="shared" si="48"/>
        <v>53843</v>
      </c>
      <c r="C430" s="30">
        <f t="shared" si="54"/>
        <v>0</v>
      </c>
      <c r="D430" s="30">
        <f t="shared" si="49"/>
        <v>6354.694503075656</v>
      </c>
      <c r="E430" s="31">
        <f t="shared" si="50"/>
        <v>0</v>
      </c>
      <c r="F430" s="30">
        <f t="shared" si="51"/>
        <v>0</v>
      </c>
      <c r="G430" s="30">
        <f t="shared" si="52"/>
        <v>0</v>
      </c>
      <c r="H430" s="30">
        <f t="shared" si="55"/>
        <v>0</v>
      </c>
      <c r="I430" s="30">
        <f t="shared" si="53"/>
        <v>0</v>
      </c>
      <c r="J430" s="30">
        <f>SUM($H$18:$H430)</f>
        <v>1168490.0211072355</v>
      </c>
    </row>
    <row r="431" spans="1:10" x14ac:dyDescent="0.2">
      <c r="A431" s="33">
        <f>IF(Values_Entered,A430+1,"")</f>
        <v>414</v>
      </c>
      <c r="B431" s="32">
        <f t="shared" si="48"/>
        <v>53874</v>
      </c>
      <c r="C431" s="30">
        <f t="shared" si="54"/>
        <v>0</v>
      </c>
      <c r="D431" s="30">
        <f t="shared" si="49"/>
        <v>6354.694503075656</v>
      </c>
      <c r="E431" s="31">
        <f t="shared" si="50"/>
        <v>0</v>
      </c>
      <c r="F431" s="30">
        <f t="shared" si="51"/>
        <v>0</v>
      </c>
      <c r="G431" s="30">
        <f t="shared" si="52"/>
        <v>0</v>
      </c>
      <c r="H431" s="30">
        <f t="shared" si="55"/>
        <v>0</v>
      </c>
      <c r="I431" s="30">
        <f t="shared" si="53"/>
        <v>0</v>
      </c>
      <c r="J431" s="30">
        <f>SUM($H$18:$H431)</f>
        <v>1168490.0211072355</v>
      </c>
    </row>
    <row r="432" spans="1:10" x14ac:dyDescent="0.2">
      <c r="A432" s="33">
        <f>IF(Values_Entered,A431+1,"")</f>
        <v>415</v>
      </c>
      <c r="B432" s="32">
        <f t="shared" si="48"/>
        <v>53904</v>
      </c>
      <c r="C432" s="30">
        <f t="shared" si="54"/>
        <v>0</v>
      </c>
      <c r="D432" s="30">
        <f t="shared" si="49"/>
        <v>6354.694503075656</v>
      </c>
      <c r="E432" s="31">
        <f t="shared" si="50"/>
        <v>0</v>
      </c>
      <c r="F432" s="30">
        <f t="shared" si="51"/>
        <v>0</v>
      </c>
      <c r="G432" s="30">
        <f t="shared" si="52"/>
        <v>0</v>
      </c>
      <c r="H432" s="30">
        <f t="shared" si="55"/>
        <v>0</v>
      </c>
      <c r="I432" s="30">
        <f t="shared" si="53"/>
        <v>0</v>
      </c>
      <c r="J432" s="30">
        <f>SUM($H$18:$H432)</f>
        <v>1168490.0211072355</v>
      </c>
    </row>
    <row r="433" spans="1:10" x14ac:dyDescent="0.2">
      <c r="A433" s="33">
        <f>IF(Values_Entered,A432+1,"")</f>
        <v>416</v>
      </c>
      <c r="B433" s="32">
        <f t="shared" si="48"/>
        <v>53935</v>
      </c>
      <c r="C433" s="30">
        <f t="shared" si="54"/>
        <v>0</v>
      </c>
      <c r="D433" s="30">
        <f t="shared" si="49"/>
        <v>6354.694503075656</v>
      </c>
      <c r="E433" s="31">
        <f t="shared" si="50"/>
        <v>0</v>
      </c>
      <c r="F433" s="30">
        <f t="shared" si="51"/>
        <v>0</v>
      </c>
      <c r="G433" s="30">
        <f t="shared" si="52"/>
        <v>0</v>
      </c>
      <c r="H433" s="30">
        <f t="shared" si="55"/>
        <v>0</v>
      </c>
      <c r="I433" s="30">
        <f t="shared" si="53"/>
        <v>0</v>
      </c>
      <c r="J433" s="30">
        <f>SUM($H$18:$H433)</f>
        <v>1168490.0211072355</v>
      </c>
    </row>
    <row r="434" spans="1:10" x14ac:dyDescent="0.2">
      <c r="A434" s="33">
        <f>IF(Values_Entered,A433+1,"")</f>
        <v>417</v>
      </c>
      <c r="B434" s="32">
        <f t="shared" si="48"/>
        <v>53966</v>
      </c>
      <c r="C434" s="30">
        <f t="shared" si="54"/>
        <v>0</v>
      </c>
      <c r="D434" s="30">
        <f t="shared" si="49"/>
        <v>6354.694503075656</v>
      </c>
      <c r="E434" s="31">
        <f t="shared" si="50"/>
        <v>0</v>
      </c>
      <c r="F434" s="30">
        <f t="shared" si="51"/>
        <v>0</v>
      </c>
      <c r="G434" s="30">
        <f t="shared" si="52"/>
        <v>0</v>
      </c>
      <c r="H434" s="30">
        <f t="shared" si="55"/>
        <v>0</v>
      </c>
      <c r="I434" s="30">
        <f t="shared" si="53"/>
        <v>0</v>
      </c>
      <c r="J434" s="30">
        <f>SUM($H$18:$H434)</f>
        <v>1168490.0211072355</v>
      </c>
    </row>
    <row r="435" spans="1:10" x14ac:dyDescent="0.2">
      <c r="A435" s="33">
        <f>IF(Values_Entered,A434+1,"")</f>
        <v>418</v>
      </c>
      <c r="B435" s="32">
        <f t="shared" si="48"/>
        <v>53996</v>
      </c>
      <c r="C435" s="30">
        <f t="shared" si="54"/>
        <v>0</v>
      </c>
      <c r="D435" s="30">
        <f t="shared" si="49"/>
        <v>6354.694503075656</v>
      </c>
      <c r="E435" s="31">
        <f t="shared" si="50"/>
        <v>0</v>
      </c>
      <c r="F435" s="30">
        <f t="shared" si="51"/>
        <v>0</v>
      </c>
      <c r="G435" s="30">
        <f t="shared" si="52"/>
        <v>0</v>
      </c>
      <c r="H435" s="30">
        <f t="shared" si="55"/>
        <v>0</v>
      </c>
      <c r="I435" s="30">
        <f t="shared" si="53"/>
        <v>0</v>
      </c>
      <c r="J435" s="30">
        <f>SUM($H$18:$H435)</f>
        <v>1168490.0211072355</v>
      </c>
    </row>
    <row r="436" spans="1:10" x14ac:dyDescent="0.2">
      <c r="A436" s="33">
        <f>IF(Values_Entered,A435+1,"")</f>
        <v>419</v>
      </c>
      <c r="B436" s="32">
        <f t="shared" si="48"/>
        <v>54027</v>
      </c>
      <c r="C436" s="30">
        <f t="shared" si="54"/>
        <v>0</v>
      </c>
      <c r="D436" s="30">
        <f t="shared" si="49"/>
        <v>6354.694503075656</v>
      </c>
      <c r="E436" s="31">
        <f t="shared" si="50"/>
        <v>0</v>
      </c>
      <c r="F436" s="30">
        <f t="shared" si="51"/>
        <v>0</v>
      </c>
      <c r="G436" s="30">
        <f t="shared" si="52"/>
        <v>0</v>
      </c>
      <c r="H436" s="30">
        <f t="shared" si="55"/>
        <v>0</v>
      </c>
      <c r="I436" s="30">
        <f t="shared" si="53"/>
        <v>0</v>
      </c>
      <c r="J436" s="30">
        <f>SUM($H$18:$H436)</f>
        <v>1168490.0211072355</v>
      </c>
    </row>
    <row r="437" spans="1:10" x14ac:dyDescent="0.2">
      <c r="A437" s="33">
        <f>IF(Values_Entered,A436+1,"")</f>
        <v>420</v>
      </c>
      <c r="B437" s="32">
        <f t="shared" si="48"/>
        <v>54057</v>
      </c>
      <c r="C437" s="30">
        <f t="shared" si="54"/>
        <v>0</v>
      </c>
      <c r="D437" s="30">
        <f t="shared" si="49"/>
        <v>6354.694503075656</v>
      </c>
      <c r="E437" s="31">
        <f t="shared" si="50"/>
        <v>0</v>
      </c>
      <c r="F437" s="30">
        <f t="shared" si="51"/>
        <v>0</v>
      </c>
      <c r="G437" s="30">
        <f t="shared" si="52"/>
        <v>0</v>
      </c>
      <c r="H437" s="30">
        <f t="shared" si="55"/>
        <v>0</v>
      </c>
      <c r="I437" s="30">
        <f t="shared" si="53"/>
        <v>0</v>
      </c>
      <c r="J437" s="30">
        <f>SUM($H$18:$H437)</f>
        <v>1168490.0211072355</v>
      </c>
    </row>
    <row r="438" spans="1:10" x14ac:dyDescent="0.2">
      <c r="A438" s="33">
        <f>IF(Values_Entered,A437+1,"")</f>
        <v>421</v>
      </c>
      <c r="B438" s="32">
        <f t="shared" si="48"/>
        <v>54088</v>
      </c>
      <c r="C438" s="30">
        <f t="shared" si="54"/>
        <v>0</v>
      </c>
      <c r="D438" s="30">
        <f t="shared" si="49"/>
        <v>6354.694503075656</v>
      </c>
      <c r="E438" s="31">
        <f t="shared" si="50"/>
        <v>0</v>
      </c>
      <c r="F438" s="30">
        <f t="shared" si="51"/>
        <v>0</v>
      </c>
      <c r="G438" s="30">
        <f t="shared" si="52"/>
        <v>0</v>
      </c>
      <c r="H438" s="30">
        <f t="shared" si="55"/>
        <v>0</v>
      </c>
      <c r="I438" s="30">
        <f t="shared" si="53"/>
        <v>0</v>
      </c>
      <c r="J438" s="30">
        <f>SUM($H$18:$H438)</f>
        <v>1168490.0211072355</v>
      </c>
    </row>
    <row r="439" spans="1:10" x14ac:dyDescent="0.2">
      <c r="A439" s="33">
        <f>IF(Values_Entered,A438+1,"")</f>
        <v>422</v>
      </c>
      <c r="B439" s="32">
        <f t="shared" si="48"/>
        <v>54119</v>
      </c>
      <c r="C439" s="30">
        <f t="shared" si="54"/>
        <v>0</v>
      </c>
      <c r="D439" s="30">
        <f t="shared" si="49"/>
        <v>6354.694503075656</v>
      </c>
      <c r="E439" s="31">
        <f t="shared" si="50"/>
        <v>0</v>
      </c>
      <c r="F439" s="30">
        <f t="shared" si="51"/>
        <v>0</v>
      </c>
      <c r="G439" s="30">
        <f t="shared" si="52"/>
        <v>0</v>
      </c>
      <c r="H439" s="30">
        <f t="shared" si="55"/>
        <v>0</v>
      </c>
      <c r="I439" s="30">
        <f t="shared" si="53"/>
        <v>0</v>
      </c>
      <c r="J439" s="30">
        <f>SUM($H$18:$H439)</f>
        <v>1168490.0211072355</v>
      </c>
    </row>
    <row r="440" spans="1:10" x14ac:dyDescent="0.2">
      <c r="A440" s="33">
        <f>IF(Values_Entered,A439+1,"")</f>
        <v>423</v>
      </c>
      <c r="B440" s="32">
        <f t="shared" si="48"/>
        <v>54148</v>
      </c>
      <c r="C440" s="30">
        <f t="shared" si="54"/>
        <v>0</v>
      </c>
      <c r="D440" s="30">
        <f t="shared" si="49"/>
        <v>6354.694503075656</v>
      </c>
      <c r="E440" s="31">
        <f t="shared" si="50"/>
        <v>0</v>
      </c>
      <c r="F440" s="30">
        <f t="shared" si="51"/>
        <v>0</v>
      </c>
      <c r="G440" s="30">
        <f t="shared" si="52"/>
        <v>0</v>
      </c>
      <c r="H440" s="30">
        <f t="shared" si="55"/>
        <v>0</v>
      </c>
      <c r="I440" s="30">
        <f t="shared" si="53"/>
        <v>0</v>
      </c>
      <c r="J440" s="30">
        <f>SUM($H$18:$H440)</f>
        <v>1168490.0211072355</v>
      </c>
    </row>
    <row r="441" spans="1:10" x14ac:dyDescent="0.2">
      <c r="A441" s="33">
        <f>IF(Values_Entered,A440+1,"")</f>
        <v>424</v>
      </c>
      <c r="B441" s="32">
        <f t="shared" si="48"/>
        <v>54179</v>
      </c>
      <c r="C441" s="30">
        <f t="shared" si="54"/>
        <v>0</v>
      </c>
      <c r="D441" s="30">
        <f t="shared" si="49"/>
        <v>6354.694503075656</v>
      </c>
      <c r="E441" s="31">
        <f t="shared" si="50"/>
        <v>0</v>
      </c>
      <c r="F441" s="30">
        <f t="shared" si="51"/>
        <v>0</v>
      </c>
      <c r="G441" s="30">
        <f t="shared" si="52"/>
        <v>0</v>
      </c>
      <c r="H441" s="30">
        <f t="shared" si="55"/>
        <v>0</v>
      </c>
      <c r="I441" s="30">
        <f t="shared" si="53"/>
        <v>0</v>
      </c>
      <c r="J441" s="30">
        <f>SUM($H$18:$H441)</f>
        <v>1168490.0211072355</v>
      </c>
    </row>
    <row r="442" spans="1:10" x14ac:dyDescent="0.2">
      <c r="A442" s="33">
        <f>IF(Values_Entered,A441+1,"")</f>
        <v>425</v>
      </c>
      <c r="B442" s="32">
        <f t="shared" si="48"/>
        <v>54209</v>
      </c>
      <c r="C442" s="30">
        <f t="shared" si="54"/>
        <v>0</v>
      </c>
      <c r="D442" s="30">
        <f t="shared" si="49"/>
        <v>6354.694503075656</v>
      </c>
      <c r="E442" s="31">
        <f t="shared" si="50"/>
        <v>0</v>
      </c>
      <c r="F442" s="30">
        <f t="shared" si="51"/>
        <v>0</v>
      </c>
      <c r="G442" s="30">
        <f t="shared" si="52"/>
        <v>0</v>
      </c>
      <c r="H442" s="30">
        <f t="shared" si="55"/>
        <v>0</v>
      </c>
      <c r="I442" s="30">
        <f t="shared" si="53"/>
        <v>0</v>
      </c>
      <c r="J442" s="30">
        <f>SUM($H$18:$H442)</f>
        <v>1168490.0211072355</v>
      </c>
    </row>
    <row r="443" spans="1:10" x14ac:dyDescent="0.2">
      <c r="A443" s="33">
        <f>IF(Values_Entered,A442+1,"")</f>
        <v>426</v>
      </c>
      <c r="B443" s="32">
        <f t="shared" si="48"/>
        <v>54240</v>
      </c>
      <c r="C443" s="30">
        <f t="shared" si="54"/>
        <v>0</v>
      </c>
      <c r="D443" s="30">
        <f t="shared" si="49"/>
        <v>6354.694503075656</v>
      </c>
      <c r="E443" s="31">
        <f t="shared" si="50"/>
        <v>0</v>
      </c>
      <c r="F443" s="30">
        <f t="shared" si="51"/>
        <v>0</v>
      </c>
      <c r="G443" s="30">
        <f t="shared" si="52"/>
        <v>0</v>
      </c>
      <c r="H443" s="30">
        <f t="shared" si="55"/>
        <v>0</v>
      </c>
      <c r="I443" s="30">
        <f t="shared" si="53"/>
        <v>0</v>
      </c>
      <c r="J443" s="30">
        <f>SUM($H$18:$H443)</f>
        <v>1168490.0211072355</v>
      </c>
    </row>
    <row r="444" spans="1:10" x14ac:dyDescent="0.2">
      <c r="A444" s="33">
        <f>IF(Values_Entered,A443+1,"")</f>
        <v>427</v>
      </c>
      <c r="B444" s="32">
        <f t="shared" si="48"/>
        <v>54270</v>
      </c>
      <c r="C444" s="30">
        <f t="shared" si="54"/>
        <v>0</v>
      </c>
      <c r="D444" s="30">
        <f t="shared" si="49"/>
        <v>6354.694503075656</v>
      </c>
      <c r="E444" s="31">
        <f t="shared" si="50"/>
        <v>0</v>
      </c>
      <c r="F444" s="30">
        <f t="shared" si="51"/>
        <v>0</v>
      </c>
      <c r="G444" s="30">
        <f t="shared" si="52"/>
        <v>0</v>
      </c>
      <c r="H444" s="30">
        <f t="shared" si="55"/>
        <v>0</v>
      </c>
      <c r="I444" s="30">
        <f t="shared" si="53"/>
        <v>0</v>
      </c>
      <c r="J444" s="30">
        <f>SUM($H$18:$H444)</f>
        <v>1168490.0211072355</v>
      </c>
    </row>
    <row r="445" spans="1:10" x14ac:dyDescent="0.2">
      <c r="A445" s="33">
        <f>IF(Values_Entered,A444+1,"")</f>
        <v>428</v>
      </c>
      <c r="B445" s="32">
        <f t="shared" si="48"/>
        <v>54301</v>
      </c>
      <c r="C445" s="30">
        <f t="shared" si="54"/>
        <v>0</v>
      </c>
      <c r="D445" s="30">
        <f t="shared" si="49"/>
        <v>6354.694503075656</v>
      </c>
      <c r="E445" s="31">
        <f t="shared" si="50"/>
        <v>0</v>
      </c>
      <c r="F445" s="30">
        <f t="shared" si="51"/>
        <v>0</v>
      </c>
      <c r="G445" s="30">
        <f t="shared" si="52"/>
        <v>0</v>
      </c>
      <c r="H445" s="30">
        <f t="shared" si="55"/>
        <v>0</v>
      </c>
      <c r="I445" s="30">
        <f t="shared" si="53"/>
        <v>0</v>
      </c>
      <c r="J445" s="30">
        <f>SUM($H$18:$H445)</f>
        <v>1168490.0211072355</v>
      </c>
    </row>
    <row r="446" spans="1:10" x14ac:dyDescent="0.2">
      <c r="A446" s="33">
        <f>IF(Values_Entered,A445+1,"")</f>
        <v>429</v>
      </c>
      <c r="B446" s="32">
        <f t="shared" si="48"/>
        <v>54332</v>
      </c>
      <c r="C446" s="30">
        <f t="shared" si="54"/>
        <v>0</v>
      </c>
      <c r="D446" s="30">
        <f t="shared" si="49"/>
        <v>6354.694503075656</v>
      </c>
      <c r="E446" s="31">
        <f t="shared" si="50"/>
        <v>0</v>
      </c>
      <c r="F446" s="30">
        <f t="shared" si="51"/>
        <v>0</v>
      </c>
      <c r="G446" s="30">
        <f t="shared" si="52"/>
        <v>0</v>
      </c>
      <c r="H446" s="30">
        <f t="shared" si="55"/>
        <v>0</v>
      </c>
      <c r="I446" s="30">
        <f t="shared" si="53"/>
        <v>0</v>
      </c>
      <c r="J446" s="30">
        <f>SUM($H$18:$H446)</f>
        <v>1168490.0211072355</v>
      </c>
    </row>
    <row r="447" spans="1:10" x14ac:dyDescent="0.2">
      <c r="A447" s="33">
        <f>IF(Values_Entered,A446+1,"")</f>
        <v>430</v>
      </c>
      <c r="B447" s="32">
        <f t="shared" si="48"/>
        <v>54362</v>
      </c>
      <c r="C447" s="30">
        <f t="shared" si="54"/>
        <v>0</v>
      </c>
      <c r="D447" s="30">
        <f t="shared" si="49"/>
        <v>6354.694503075656</v>
      </c>
      <c r="E447" s="31">
        <f t="shared" si="50"/>
        <v>0</v>
      </c>
      <c r="F447" s="30">
        <f t="shared" si="51"/>
        <v>0</v>
      </c>
      <c r="G447" s="30">
        <f t="shared" si="52"/>
        <v>0</v>
      </c>
      <c r="H447" s="30">
        <f t="shared" si="55"/>
        <v>0</v>
      </c>
      <c r="I447" s="30">
        <f t="shared" si="53"/>
        <v>0</v>
      </c>
      <c r="J447" s="30">
        <f>SUM($H$18:$H447)</f>
        <v>1168490.0211072355</v>
      </c>
    </row>
    <row r="448" spans="1:10" x14ac:dyDescent="0.2">
      <c r="A448" s="33">
        <f>IF(Values_Entered,A447+1,"")</f>
        <v>431</v>
      </c>
      <c r="B448" s="32">
        <f t="shared" si="48"/>
        <v>54393</v>
      </c>
      <c r="C448" s="30">
        <f t="shared" si="54"/>
        <v>0</v>
      </c>
      <c r="D448" s="30">
        <f t="shared" si="49"/>
        <v>6354.694503075656</v>
      </c>
      <c r="E448" s="31">
        <f t="shared" si="50"/>
        <v>0</v>
      </c>
      <c r="F448" s="30">
        <f t="shared" si="51"/>
        <v>0</v>
      </c>
      <c r="G448" s="30">
        <f t="shared" si="52"/>
        <v>0</v>
      </c>
      <c r="H448" s="30">
        <f t="shared" si="55"/>
        <v>0</v>
      </c>
      <c r="I448" s="30">
        <f t="shared" si="53"/>
        <v>0</v>
      </c>
      <c r="J448" s="30">
        <f>SUM($H$18:$H448)</f>
        <v>1168490.0211072355</v>
      </c>
    </row>
    <row r="449" spans="1:10" x14ac:dyDescent="0.2">
      <c r="A449" s="33">
        <f>IF(Values_Entered,A448+1,"")</f>
        <v>432</v>
      </c>
      <c r="B449" s="32">
        <f t="shared" si="48"/>
        <v>54423</v>
      </c>
      <c r="C449" s="30">
        <f t="shared" si="54"/>
        <v>0</v>
      </c>
      <c r="D449" s="30">
        <f t="shared" si="49"/>
        <v>6354.694503075656</v>
      </c>
      <c r="E449" s="31">
        <f t="shared" si="50"/>
        <v>0</v>
      </c>
      <c r="F449" s="30">
        <f t="shared" si="51"/>
        <v>0</v>
      </c>
      <c r="G449" s="30">
        <f t="shared" si="52"/>
        <v>0</v>
      </c>
      <c r="H449" s="30">
        <f t="shared" si="55"/>
        <v>0</v>
      </c>
      <c r="I449" s="30">
        <f t="shared" si="53"/>
        <v>0</v>
      </c>
      <c r="J449" s="30">
        <f>SUM($H$18:$H449)</f>
        <v>1168490.0211072355</v>
      </c>
    </row>
    <row r="450" spans="1:10" x14ac:dyDescent="0.2">
      <c r="A450" s="33">
        <f>IF(Values_Entered,A449+1,"")</f>
        <v>433</v>
      </c>
      <c r="B450" s="32">
        <f t="shared" si="48"/>
        <v>54454</v>
      </c>
      <c r="C450" s="30">
        <f t="shared" si="54"/>
        <v>0</v>
      </c>
      <c r="D450" s="30">
        <f t="shared" si="49"/>
        <v>6354.694503075656</v>
      </c>
      <c r="E450" s="31">
        <f t="shared" si="50"/>
        <v>0</v>
      </c>
      <c r="F450" s="30">
        <f t="shared" si="51"/>
        <v>0</v>
      </c>
      <c r="G450" s="30">
        <f t="shared" si="52"/>
        <v>0</v>
      </c>
      <c r="H450" s="30">
        <f t="shared" si="55"/>
        <v>0</v>
      </c>
      <c r="I450" s="30">
        <f t="shared" si="53"/>
        <v>0</v>
      </c>
      <c r="J450" s="30">
        <f>SUM($H$18:$H450)</f>
        <v>1168490.0211072355</v>
      </c>
    </row>
    <row r="451" spans="1:10" x14ac:dyDescent="0.2">
      <c r="A451" s="33">
        <f>IF(Values_Entered,A450+1,"")</f>
        <v>434</v>
      </c>
      <c r="B451" s="32">
        <f t="shared" si="48"/>
        <v>54485</v>
      </c>
      <c r="C451" s="30">
        <f t="shared" si="54"/>
        <v>0</v>
      </c>
      <c r="D451" s="30">
        <f t="shared" si="49"/>
        <v>6354.694503075656</v>
      </c>
      <c r="E451" s="31">
        <f t="shared" si="50"/>
        <v>0</v>
      </c>
      <c r="F451" s="30">
        <f t="shared" si="51"/>
        <v>0</v>
      </c>
      <c r="G451" s="30">
        <f t="shared" si="52"/>
        <v>0</v>
      </c>
      <c r="H451" s="30">
        <f t="shared" si="55"/>
        <v>0</v>
      </c>
      <c r="I451" s="30">
        <f t="shared" si="53"/>
        <v>0</v>
      </c>
      <c r="J451" s="30">
        <f>SUM($H$18:$H451)</f>
        <v>1168490.0211072355</v>
      </c>
    </row>
    <row r="452" spans="1:10" x14ac:dyDescent="0.2">
      <c r="A452" s="33">
        <f>IF(Values_Entered,A451+1,"")</f>
        <v>435</v>
      </c>
      <c r="B452" s="32">
        <f t="shared" si="48"/>
        <v>54513</v>
      </c>
      <c r="C452" s="30">
        <f t="shared" si="54"/>
        <v>0</v>
      </c>
      <c r="D452" s="30">
        <f t="shared" si="49"/>
        <v>6354.694503075656</v>
      </c>
      <c r="E452" s="31">
        <f t="shared" si="50"/>
        <v>0</v>
      </c>
      <c r="F452" s="30">
        <f t="shared" si="51"/>
        <v>0</v>
      </c>
      <c r="G452" s="30">
        <f t="shared" si="52"/>
        <v>0</v>
      </c>
      <c r="H452" s="30">
        <f t="shared" si="55"/>
        <v>0</v>
      </c>
      <c r="I452" s="30">
        <f t="shared" si="53"/>
        <v>0</v>
      </c>
      <c r="J452" s="30">
        <f>SUM($H$18:$H452)</f>
        <v>1168490.0211072355</v>
      </c>
    </row>
    <row r="453" spans="1:10" x14ac:dyDescent="0.2">
      <c r="A453" s="33">
        <f>IF(Values_Entered,A452+1,"")</f>
        <v>436</v>
      </c>
      <c r="B453" s="32">
        <f t="shared" si="48"/>
        <v>54544</v>
      </c>
      <c r="C453" s="30">
        <f t="shared" si="54"/>
        <v>0</v>
      </c>
      <c r="D453" s="30">
        <f t="shared" si="49"/>
        <v>6354.694503075656</v>
      </c>
      <c r="E453" s="31">
        <f t="shared" si="50"/>
        <v>0</v>
      </c>
      <c r="F453" s="30">
        <f t="shared" si="51"/>
        <v>0</v>
      </c>
      <c r="G453" s="30">
        <f t="shared" si="52"/>
        <v>0</v>
      </c>
      <c r="H453" s="30">
        <f t="shared" si="55"/>
        <v>0</v>
      </c>
      <c r="I453" s="30">
        <f t="shared" si="53"/>
        <v>0</v>
      </c>
      <c r="J453" s="30">
        <f>SUM($H$18:$H453)</f>
        <v>1168490.0211072355</v>
      </c>
    </row>
    <row r="454" spans="1:10" x14ac:dyDescent="0.2">
      <c r="A454" s="33">
        <f>IF(Values_Entered,A453+1,"")</f>
        <v>437</v>
      </c>
      <c r="B454" s="32">
        <f t="shared" si="48"/>
        <v>54574</v>
      </c>
      <c r="C454" s="30">
        <f t="shared" si="54"/>
        <v>0</v>
      </c>
      <c r="D454" s="30">
        <f t="shared" si="49"/>
        <v>6354.694503075656</v>
      </c>
      <c r="E454" s="31">
        <f t="shared" si="50"/>
        <v>0</v>
      </c>
      <c r="F454" s="30">
        <f t="shared" si="51"/>
        <v>0</v>
      </c>
      <c r="G454" s="30">
        <f t="shared" si="52"/>
        <v>0</v>
      </c>
      <c r="H454" s="30">
        <f t="shared" si="55"/>
        <v>0</v>
      </c>
      <c r="I454" s="30">
        <f t="shared" si="53"/>
        <v>0</v>
      </c>
      <c r="J454" s="30">
        <f>SUM($H$18:$H454)</f>
        <v>1168490.0211072355</v>
      </c>
    </row>
    <row r="455" spans="1:10" x14ac:dyDescent="0.2">
      <c r="A455" s="33">
        <f>IF(Values_Entered,A454+1,"")</f>
        <v>438</v>
      </c>
      <c r="B455" s="32">
        <f t="shared" si="48"/>
        <v>54605</v>
      </c>
      <c r="C455" s="30">
        <f t="shared" si="54"/>
        <v>0</v>
      </c>
      <c r="D455" s="30">
        <f t="shared" si="49"/>
        <v>6354.694503075656</v>
      </c>
      <c r="E455" s="31">
        <f t="shared" si="50"/>
        <v>0</v>
      </c>
      <c r="F455" s="30">
        <f t="shared" si="51"/>
        <v>0</v>
      </c>
      <c r="G455" s="30">
        <f t="shared" si="52"/>
        <v>0</v>
      </c>
      <c r="H455" s="30">
        <f t="shared" si="55"/>
        <v>0</v>
      </c>
      <c r="I455" s="30">
        <f t="shared" si="53"/>
        <v>0</v>
      </c>
      <c r="J455" s="30">
        <f>SUM($H$18:$H455)</f>
        <v>1168490.0211072355</v>
      </c>
    </row>
    <row r="456" spans="1:10" x14ac:dyDescent="0.2">
      <c r="A456" s="33">
        <f>IF(Values_Entered,A455+1,"")</f>
        <v>439</v>
      </c>
      <c r="B456" s="32">
        <f t="shared" si="48"/>
        <v>54635</v>
      </c>
      <c r="C456" s="30">
        <f t="shared" si="54"/>
        <v>0</v>
      </c>
      <c r="D456" s="30">
        <f t="shared" si="49"/>
        <v>6354.694503075656</v>
      </c>
      <c r="E456" s="31">
        <f t="shared" si="50"/>
        <v>0</v>
      </c>
      <c r="F456" s="30">
        <f t="shared" si="51"/>
        <v>0</v>
      </c>
      <c r="G456" s="30">
        <f t="shared" si="52"/>
        <v>0</v>
      </c>
      <c r="H456" s="30">
        <f t="shared" si="55"/>
        <v>0</v>
      </c>
      <c r="I456" s="30">
        <f t="shared" si="53"/>
        <v>0</v>
      </c>
      <c r="J456" s="30">
        <f>SUM($H$18:$H456)</f>
        <v>1168490.0211072355</v>
      </c>
    </row>
    <row r="457" spans="1:10" x14ac:dyDescent="0.2">
      <c r="A457" s="33">
        <f>IF(Values_Entered,A456+1,"")</f>
        <v>440</v>
      </c>
      <c r="B457" s="32">
        <f t="shared" si="48"/>
        <v>54666</v>
      </c>
      <c r="C457" s="30">
        <f t="shared" si="54"/>
        <v>0</v>
      </c>
      <c r="D457" s="30">
        <f t="shared" si="49"/>
        <v>6354.694503075656</v>
      </c>
      <c r="E457" s="31">
        <f t="shared" si="50"/>
        <v>0</v>
      </c>
      <c r="F457" s="30">
        <f t="shared" si="51"/>
        <v>0</v>
      </c>
      <c r="G457" s="30">
        <f t="shared" si="52"/>
        <v>0</v>
      </c>
      <c r="H457" s="30">
        <f t="shared" si="55"/>
        <v>0</v>
      </c>
      <c r="I457" s="30">
        <f t="shared" si="53"/>
        <v>0</v>
      </c>
      <c r="J457" s="30">
        <f>SUM($H$18:$H457)</f>
        <v>1168490.0211072355</v>
      </c>
    </row>
    <row r="458" spans="1:10" x14ac:dyDescent="0.2">
      <c r="A458" s="33">
        <f>IF(Values_Entered,A457+1,"")</f>
        <v>441</v>
      </c>
      <c r="B458" s="32">
        <f t="shared" si="48"/>
        <v>54697</v>
      </c>
      <c r="C458" s="30">
        <f t="shared" si="54"/>
        <v>0</v>
      </c>
      <c r="D458" s="30">
        <f t="shared" si="49"/>
        <v>6354.694503075656</v>
      </c>
      <c r="E458" s="31">
        <f t="shared" si="50"/>
        <v>0</v>
      </c>
      <c r="F458" s="30">
        <f t="shared" si="51"/>
        <v>0</v>
      </c>
      <c r="G458" s="30">
        <f t="shared" si="52"/>
        <v>0</v>
      </c>
      <c r="H458" s="30">
        <f t="shared" si="55"/>
        <v>0</v>
      </c>
      <c r="I458" s="30">
        <f t="shared" si="53"/>
        <v>0</v>
      </c>
      <c r="J458" s="30">
        <f>SUM($H$18:$H458)</f>
        <v>1168490.0211072355</v>
      </c>
    </row>
    <row r="459" spans="1:10" x14ac:dyDescent="0.2">
      <c r="A459" s="33">
        <f>IF(Values_Entered,A458+1,"")</f>
        <v>442</v>
      </c>
      <c r="B459" s="32">
        <f t="shared" si="48"/>
        <v>54727</v>
      </c>
      <c r="C459" s="30">
        <f t="shared" si="54"/>
        <v>0</v>
      </c>
      <c r="D459" s="30">
        <f t="shared" si="49"/>
        <v>6354.694503075656</v>
      </c>
      <c r="E459" s="31">
        <f t="shared" si="50"/>
        <v>0</v>
      </c>
      <c r="F459" s="30">
        <f t="shared" si="51"/>
        <v>0</v>
      </c>
      <c r="G459" s="30">
        <f t="shared" si="52"/>
        <v>0</v>
      </c>
      <c r="H459" s="30">
        <f t="shared" si="55"/>
        <v>0</v>
      </c>
      <c r="I459" s="30">
        <f t="shared" si="53"/>
        <v>0</v>
      </c>
      <c r="J459" s="30">
        <f>SUM($H$18:$H459)</f>
        <v>1168490.0211072355</v>
      </c>
    </row>
    <row r="460" spans="1:10" x14ac:dyDescent="0.2">
      <c r="A460" s="33">
        <f>IF(Values_Entered,A459+1,"")</f>
        <v>443</v>
      </c>
      <c r="B460" s="32">
        <f t="shared" si="48"/>
        <v>54758</v>
      </c>
      <c r="C460" s="30">
        <f t="shared" si="54"/>
        <v>0</v>
      </c>
      <c r="D460" s="30">
        <f t="shared" si="49"/>
        <v>6354.694503075656</v>
      </c>
      <c r="E460" s="31">
        <f t="shared" si="50"/>
        <v>0</v>
      </c>
      <c r="F460" s="30">
        <f t="shared" si="51"/>
        <v>0</v>
      </c>
      <c r="G460" s="30">
        <f t="shared" si="52"/>
        <v>0</v>
      </c>
      <c r="H460" s="30">
        <f t="shared" si="55"/>
        <v>0</v>
      </c>
      <c r="I460" s="30">
        <f t="shared" si="53"/>
        <v>0</v>
      </c>
      <c r="J460" s="30">
        <f>SUM($H$18:$H460)</f>
        <v>1168490.0211072355</v>
      </c>
    </row>
    <row r="461" spans="1:10" x14ac:dyDescent="0.2">
      <c r="A461" s="33">
        <f>IF(Values_Entered,A460+1,"")</f>
        <v>444</v>
      </c>
      <c r="B461" s="32">
        <f t="shared" si="48"/>
        <v>54788</v>
      </c>
      <c r="C461" s="30">
        <f t="shared" si="54"/>
        <v>0</v>
      </c>
      <c r="D461" s="30">
        <f t="shared" si="49"/>
        <v>6354.694503075656</v>
      </c>
      <c r="E461" s="31">
        <f t="shared" si="50"/>
        <v>0</v>
      </c>
      <c r="F461" s="30">
        <f t="shared" si="51"/>
        <v>0</v>
      </c>
      <c r="G461" s="30">
        <f t="shared" si="52"/>
        <v>0</v>
      </c>
      <c r="H461" s="30">
        <f t="shared" si="55"/>
        <v>0</v>
      </c>
      <c r="I461" s="30">
        <f t="shared" si="53"/>
        <v>0</v>
      </c>
      <c r="J461" s="30">
        <f>SUM($H$18:$H461)</f>
        <v>1168490.0211072355</v>
      </c>
    </row>
    <row r="462" spans="1:10" x14ac:dyDescent="0.2">
      <c r="A462" s="33">
        <f>IF(Values_Entered,A461+1,"")</f>
        <v>445</v>
      </c>
      <c r="B462" s="32">
        <f t="shared" si="48"/>
        <v>54819</v>
      </c>
      <c r="C462" s="30">
        <f t="shared" si="54"/>
        <v>0</v>
      </c>
      <c r="D462" s="30">
        <f t="shared" si="49"/>
        <v>6354.694503075656</v>
      </c>
      <c r="E462" s="31">
        <f t="shared" si="50"/>
        <v>0</v>
      </c>
      <c r="F462" s="30">
        <f t="shared" si="51"/>
        <v>0</v>
      </c>
      <c r="G462" s="30">
        <f t="shared" si="52"/>
        <v>0</v>
      </c>
      <c r="H462" s="30">
        <f t="shared" si="55"/>
        <v>0</v>
      </c>
      <c r="I462" s="30">
        <f t="shared" si="53"/>
        <v>0</v>
      </c>
      <c r="J462" s="30">
        <f>SUM($H$18:$H462)</f>
        <v>1168490.0211072355</v>
      </c>
    </row>
    <row r="463" spans="1:10" x14ac:dyDescent="0.2">
      <c r="A463" s="33">
        <f>IF(Values_Entered,A462+1,"")</f>
        <v>446</v>
      </c>
      <c r="B463" s="32">
        <f t="shared" si="48"/>
        <v>54850</v>
      </c>
      <c r="C463" s="30">
        <f t="shared" si="54"/>
        <v>0</v>
      </c>
      <c r="D463" s="30">
        <f t="shared" si="49"/>
        <v>6354.694503075656</v>
      </c>
      <c r="E463" s="31">
        <f t="shared" si="50"/>
        <v>0</v>
      </c>
      <c r="F463" s="30">
        <f t="shared" si="51"/>
        <v>0</v>
      </c>
      <c r="G463" s="30">
        <f t="shared" si="52"/>
        <v>0</v>
      </c>
      <c r="H463" s="30">
        <f t="shared" si="55"/>
        <v>0</v>
      </c>
      <c r="I463" s="30">
        <f t="shared" si="53"/>
        <v>0</v>
      </c>
      <c r="J463" s="30">
        <f>SUM($H$18:$H463)</f>
        <v>1168490.0211072355</v>
      </c>
    </row>
    <row r="464" spans="1:10" x14ac:dyDescent="0.2">
      <c r="A464" s="33">
        <f>IF(Values_Entered,A463+1,"")</f>
        <v>447</v>
      </c>
      <c r="B464" s="32">
        <f t="shared" si="48"/>
        <v>54878</v>
      </c>
      <c r="C464" s="30">
        <f t="shared" si="54"/>
        <v>0</v>
      </c>
      <c r="D464" s="30">
        <f t="shared" si="49"/>
        <v>6354.694503075656</v>
      </c>
      <c r="E464" s="31">
        <f t="shared" si="50"/>
        <v>0</v>
      </c>
      <c r="F464" s="30">
        <f t="shared" si="51"/>
        <v>0</v>
      </c>
      <c r="G464" s="30">
        <f t="shared" si="52"/>
        <v>0</v>
      </c>
      <c r="H464" s="30">
        <f t="shared" si="55"/>
        <v>0</v>
      </c>
      <c r="I464" s="30">
        <f t="shared" si="53"/>
        <v>0</v>
      </c>
      <c r="J464" s="30">
        <f>SUM($H$18:$H464)</f>
        <v>1168490.0211072355</v>
      </c>
    </row>
    <row r="465" spans="1:10" x14ac:dyDescent="0.2">
      <c r="A465" s="33">
        <f>IF(Values_Entered,A464+1,"")</f>
        <v>448</v>
      </c>
      <c r="B465" s="32">
        <f t="shared" si="48"/>
        <v>54909</v>
      </c>
      <c r="C465" s="30">
        <f t="shared" si="54"/>
        <v>0</v>
      </c>
      <c r="D465" s="30">
        <f t="shared" si="49"/>
        <v>6354.694503075656</v>
      </c>
      <c r="E465" s="31">
        <f t="shared" si="50"/>
        <v>0</v>
      </c>
      <c r="F465" s="30">
        <f t="shared" si="51"/>
        <v>0</v>
      </c>
      <c r="G465" s="30">
        <f t="shared" si="52"/>
        <v>0</v>
      </c>
      <c r="H465" s="30">
        <f t="shared" si="55"/>
        <v>0</v>
      </c>
      <c r="I465" s="30">
        <f t="shared" si="53"/>
        <v>0</v>
      </c>
      <c r="J465" s="30">
        <f>SUM($H$18:$H465)</f>
        <v>1168490.0211072355</v>
      </c>
    </row>
    <row r="466" spans="1:10" x14ac:dyDescent="0.2">
      <c r="A466" s="33">
        <f>IF(Values_Entered,A465+1,"")</f>
        <v>449</v>
      </c>
      <c r="B466" s="32">
        <f t="shared" ref="B466:B497" si="56">IF(Pay_Num&lt;&gt;"",DATE(YEAR(Loan_Start),MONTH(Loan_Start)+(Pay_Num)*12/Num_Pmt_Per_Year,DAY(Loan_Start)),"")</f>
        <v>54939</v>
      </c>
      <c r="C466" s="30">
        <f t="shared" si="54"/>
        <v>0</v>
      </c>
      <c r="D466" s="30">
        <f t="shared" ref="D466:D497" si="57">IF(Pay_Num&lt;&gt;"",Scheduled_Monthly_Payment,"")</f>
        <v>6354.694503075656</v>
      </c>
      <c r="E466" s="31">
        <f t="shared" ref="E466:E497" si="58">IF(AND(Pay_Num&lt;&gt;"",Sched_Pay+Scheduled_Extra_Payments&lt;Beg_Bal),Scheduled_Extra_Payments,IF(AND(Pay_Num&lt;&gt;"",Beg_Bal-Sched_Pay&gt;0),Beg_Bal-Sched_Pay,IF(Pay_Num&lt;&gt;"",0,"")))</f>
        <v>0</v>
      </c>
      <c r="F466" s="30">
        <f t="shared" ref="F466:F497" si="59">IF(AND(Pay_Num&lt;&gt;"",Sched_Pay+Extra_Pay&lt;Beg_Bal),Sched_Pay+Extra_Pay,IF(Pay_Num&lt;&gt;"",Beg_Bal,""))</f>
        <v>0</v>
      </c>
      <c r="G466" s="30">
        <f t="shared" ref="G466:G497" si="60">IF(Pay_Num&lt;&gt;"",Total_Pay-Int,"")</f>
        <v>0</v>
      </c>
      <c r="H466" s="30">
        <f t="shared" si="55"/>
        <v>0</v>
      </c>
      <c r="I466" s="30">
        <f t="shared" ref="I466:I497" si="61">IF(AND(Pay_Num&lt;&gt;"",Sched_Pay+Extra_Pay&lt;Beg_Bal),Beg_Bal-Princ,IF(Pay_Num&lt;&gt;"",0,""))</f>
        <v>0</v>
      </c>
      <c r="J466" s="30">
        <f>SUM($H$18:$H466)</f>
        <v>1168490.0211072355</v>
      </c>
    </row>
    <row r="467" spans="1:10" x14ac:dyDescent="0.2">
      <c r="A467" s="33">
        <f>IF(Values_Entered,A466+1,"")</f>
        <v>450</v>
      </c>
      <c r="B467" s="32">
        <f t="shared" si="56"/>
        <v>54970</v>
      </c>
      <c r="C467" s="30">
        <f t="shared" ref="C467:C497" si="62">IF(Pay_Num&lt;&gt;"",I466,"")</f>
        <v>0</v>
      </c>
      <c r="D467" s="30">
        <f t="shared" si="57"/>
        <v>6354.694503075656</v>
      </c>
      <c r="E467" s="31">
        <f t="shared" si="58"/>
        <v>0</v>
      </c>
      <c r="F467" s="30">
        <f t="shared" si="59"/>
        <v>0</v>
      </c>
      <c r="G467" s="30">
        <f t="shared" si="60"/>
        <v>0</v>
      </c>
      <c r="H467" s="30">
        <f t="shared" ref="H467:H497" si="63">IF(Pay_Num&lt;&gt;"",Beg_Bal*Interest_Rate/Num_Pmt_Per_Year,"")</f>
        <v>0</v>
      </c>
      <c r="I467" s="30">
        <f t="shared" si="61"/>
        <v>0</v>
      </c>
      <c r="J467" s="30">
        <f>SUM($H$18:$H467)</f>
        <v>1168490.0211072355</v>
      </c>
    </row>
    <row r="468" spans="1:10" x14ac:dyDescent="0.2">
      <c r="A468" s="33">
        <f>IF(Values_Entered,A467+1,"")</f>
        <v>451</v>
      </c>
      <c r="B468" s="32">
        <f t="shared" si="56"/>
        <v>55000</v>
      </c>
      <c r="C468" s="30">
        <f t="shared" si="62"/>
        <v>0</v>
      </c>
      <c r="D468" s="30">
        <f t="shared" si="57"/>
        <v>6354.694503075656</v>
      </c>
      <c r="E468" s="31">
        <f t="shared" si="58"/>
        <v>0</v>
      </c>
      <c r="F468" s="30">
        <f t="shared" si="59"/>
        <v>0</v>
      </c>
      <c r="G468" s="30">
        <f t="shared" si="60"/>
        <v>0</v>
      </c>
      <c r="H468" s="30">
        <f t="shared" si="63"/>
        <v>0</v>
      </c>
      <c r="I468" s="30">
        <f t="shared" si="61"/>
        <v>0</v>
      </c>
      <c r="J468" s="30">
        <f>SUM($H$18:$H468)</f>
        <v>1168490.0211072355</v>
      </c>
    </row>
    <row r="469" spans="1:10" x14ac:dyDescent="0.2">
      <c r="A469" s="33">
        <f>IF(Values_Entered,A468+1,"")</f>
        <v>452</v>
      </c>
      <c r="B469" s="32">
        <f t="shared" si="56"/>
        <v>55031</v>
      </c>
      <c r="C469" s="30">
        <f t="shared" si="62"/>
        <v>0</v>
      </c>
      <c r="D469" s="30">
        <f t="shared" si="57"/>
        <v>6354.694503075656</v>
      </c>
      <c r="E469" s="31">
        <f t="shared" si="58"/>
        <v>0</v>
      </c>
      <c r="F469" s="30">
        <f t="shared" si="59"/>
        <v>0</v>
      </c>
      <c r="G469" s="30">
        <f t="shared" si="60"/>
        <v>0</v>
      </c>
      <c r="H469" s="30">
        <f t="shared" si="63"/>
        <v>0</v>
      </c>
      <c r="I469" s="30">
        <f t="shared" si="61"/>
        <v>0</v>
      </c>
      <c r="J469" s="30">
        <f>SUM($H$18:$H469)</f>
        <v>1168490.0211072355</v>
      </c>
    </row>
    <row r="470" spans="1:10" x14ac:dyDescent="0.2">
      <c r="A470" s="33">
        <f>IF(Values_Entered,A469+1,"")</f>
        <v>453</v>
      </c>
      <c r="B470" s="32">
        <f t="shared" si="56"/>
        <v>55062</v>
      </c>
      <c r="C470" s="30">
        <f t="shared" si="62"/>
        <v>0</v>
      </c>
      <c r="D470" s="30">
        <f t="shared" si="57"/>
        <v>6354.694503075656</v>
      </c>
      <c r="E470" s="31">
        <f t="shared" si="58"/>
        <v>0</v>
      </c>
      <c r="F470" s="30">
        <f t="shared" si="59"/>
        <v>0</v>
      </c>
      <c r="G470" s="30">
        <f t="shared" si="60"/>
        <v>0</v>
      </c>
      <c r="H470" s="30">
        <f t="shared" si="63"/>
        <v>0</v>
      </c>
      <c r="I470" s="30">
        <f t="shared" si="61"/>
        <v>0</v>
      </c>
      <c r="J470" s="30">
        <f>SUM($H$18:$H470)</f>
        <v>1168490.0211072355</v>
      </c>
    </row>
    <row r="471" spans="1:10" x14ac:dyDescent="0.2">
      <c r="A471" s="33">
        <f>IF(Values_Entered,A470+1,"")</f>
        <v>454</v>
      </c>
      <c r="B471" s="32">
        <f t="shared" si="56"/>
        <v>55092</v>
      </c>
      <c r="C471" s="30">
        <f t="shared" si="62"/>
        <v>0</v>
      </c>
      <c r="D471" s="30">
        <f t="shared" si="57"/>
        <v>6354.694503075656</v>
      </c>
      <c r="E471" s="31">
        <f t="shared" si="58"/>
        <v>0</v>
      </c>
      <c r="F471" s="30">
        <f t="shared" si="59"/>
        <v>0</v>
      </c>
      <c r="G471" s="30">
        <f t="shared" si="60"/>
        <v>0</v>
      </c>
      <c r="H471" s="30">
        <f t="shared" si="63"/>
        <v>0</v>
      </c>
      <c r="I471" s="30">
        <f t="shared" si="61"/>
        <v>0</v>
      </c>
      <c r="J471" s="30">
        <f>SUM($H$18:$H471)</f>
        <v>1168490.0211072355</v>
      </c>
    </row>
    <row r="472" spans="1:10" x14ac:dyDescent="0.2">
      <c r="A472" s="33">
        <f>IF(Values_Entered,A471+1,"")</f>
        <v>455</v>
      </c>
      <c r="B472" s="32">
        <f t="shared" si="56"/>
        <v>55123</v>
      </c>
      <c r="C472" s="30">
        <f t="shared" si="62"/>
        <v>0</v>
      </c>
      <c r="D472" s="30">
        <f t="shared" si="57"/>
        <v>6354.694503075656</v>
      </c>
      <c r="E472" s="31">
        <f t="shared" si="58"/>
        <v>0</v>
      </c>
      <c r="F472" s="30">
        <f t="shared" si="59"/>
        <v>0</v>
      </c>
      <c r="G472" s="30">
        <f t="shared" si="60"/>
        <v>0</v>
      </c>
      <c r="H472" s="30">
        <f t="shared" si="63"/>
        <v>0</v>
      </c>
      <c r="I472" s="30">
        <f t="shared" si="61"/>
        <v>0</v>
      </c>
      <c r="J472" s="30">
        <f>SUM($H$18:$H472)</f>
        <v>1168490.0211072355</v>
      </c>
    </row>
    <row r="473" spans="1:10" x14ac:dyDescent="0.2">
      <c r="A473" s="33">
        <f>IF(Values_Entered,A472+1,"")</f>
        <v>456</v>
      </c>
      <c r="B473" s="32">
        <f t="shared" si="56"/>
        <v>55153</v>
      </c>
      <c r="C473" s="30">
        <f t="shared" si="62"/>
        <v>0</v>
      </c>
      <c r="D473" s="30">
        <f t="shared" si="57"/>
        <v>6354.694503075656</v>
      </c>
      <c r="E473" s="31">
        <f t="shared" si="58"/>
        <v>0</v>
      </c>
      <c r="F473" s="30">
        <f t="shared" si="59"/>
        <v>0</v>
      </c>
      <c r="G473" s="30">
        <f t="shared" si="60"/>
        <v>0</v>
      </c>
      <c r="H473" s="30">
        <f t="shared" si="63"/>
        <v>0</v>
      </c>
      <c r="I473" s="30">
        <f t="shared" si="61"/>
        <v>0</v>
      </c>
      <c r="J473" s="30">
        <f>SUM($H$18:$H473)</f>
        <v>1168490.0211072355</v>
      </c>
    </row>
    <row r="474" spans="1:10" x14ac:dyDescent="0.2">
      <c r="A474" s="33">
        <f>IF(Values_Entered,A473+1,"")</f>
        <v>457</v>
      </c>
      <c r="B474" s="32">
        <f t="shared" si="56"/>
        <v>55184</v>
      </c>
      <c r="C474" s="30">
        <f t="shared" si="62"/>
        <v>0</v>
      </c>
      <c r="D474" s="30">
        <f t="shared" si="57"/>
        <v>6354.694503075656</v>
      </c>
      <c r="E474" s="31">
        <f t="shared" si="58"/>
        <v>0</v>
      </c>
      <c r="F474" s="30">
        <f t="shared" si="59"/>
        <v>0</v>
      </c>
      <c r="G474" s="30">
        <f t="shared" si="60"/>
        <v>0</v>
      </c>
      <c r="H474" s="30">
        <f t="shared" si="63"/>
        <v>0</v>
      </c>
      <c r="I474" s="30">
        <f t="shared" si="61"/>
        <v>0</v>
      </c>
      <c r="J474" s="30">
        <f>SUM($H$18:$H474)</f>
        <v>1168490.0211072355</v>
      </c>
    </row>
    <row r="475" spans="1:10" x14ac:dyDescent="0.2">
      <c r="A475" s="33">
        <f>IF(Values_Entered,A474+1,"")</f>
        <v>458</v>
      </c>
      <c r="B475" s="32">
        <f t="shared" si="56"/>
        <v>55215</v>
      </c>
      <c r="C475" s="30">
        <f t="shared" si="62"/>
        <v>0</v>
      </c>
      <c r="D475" s="30">
        <f t="shared" si="57"/>
        <v>6354.694503075656</v>
      </c>
      <c r="E475" s="31">
        <f t="shared" si="58"/>
        <v>0</v>
      </c>
      <c r="F475" s="30">
        <f t="shared" si="59"/>
        <v>0</v>
      </c>
      <c r="G475" s="30">
        <f t="shared" si="60"/>
        <v>0</v>
      </c>
      <c r="H475" s="30">
        <f t="shared" si="63"/>
        <v>0</v>
      </c>
      <c r="I475" s="30">
        <f t="shared" si="61"/>
        <v>0</v>
      </c>
      <c r="J475" s="30">
        <f>SUM($H$18:$H475)</f>
        <v>1168490.0211072355</v>
      </c>
    </row>
    <row r="476" spans="1:10" x14ac:dyDescent="0.2">
      <c r="A476" s="33">
        <f>IF(Values_Entered,A475+1,"")</f>
        <v>459</v>
      </c>
      <c r="B476" s="32">
        <f t="shared" si="56"/>
        <v>55243</v>
      </c>
      <c r="C476" s="30">
        <f t="shared" si="62"/>
        <v>0</v>
      </c>
      <c r="D476" s="30">
        <f t="shared" si="57"/>
        <v>6354.694503075656</v>
      </c>
      <c r="E476" s="31">
        <f t="shared" si="58"/>
        <v>0</v>
      </c>
      <c r="F476" s="30">
        <f t="shared" si="59"/>
        <v>0</v>
      </c>
      <c r="G476" s="30">
        <f t="shared" si="60"/>
        <v>0</v>
      </c>
      <c r="H476" s="30">
        <f t="shared" si="63"/>
        <v>0</v>
      </c>
      <c r="I476" s="30">
        <f t="shared" si="61"/>
        <v>0</v>
      </c>
      <c r="J476" s="30">
        <f>SUM($H$18:$H476)</f>
        <v>1168490.0211072355</v>
      </c>
    </row>
    <row r="477" spans="1:10" x14ac:dyDescent="0.2">
      <c r="A477" s="33">
        <f>IF(Values_Entered,A476+1,"")</f>
        <v>460</v>
      </c>
      <c r="B477" s="32">
        <f t="shared" si="56"/>
        <v>55274</v>
      </c>
      <c r="C477" s="30">
        <f t="shared" si="62"/>
        <v>0</v>
      </c>
      <c r="D477" s="30">
        <f t="shared" si="57"/>
        <v>6354.694503075656</v>
      </c>
      <c r="E477" s="31">
        <f t="shared" si="58"/>
        <v>0</v>
      </c>
      <c r="F477" s="30">
        <f t="shared" si="59"/>
        <v>0</v>
      </c>
      <c r="G477" s="30">
        <f t="shared" si="60"/>
        <v>0</v>
      </c>
      <c r="H477" s="30">
        <f t="shared" si="63"/>
        <v>0</v>
      </c>
      <c r="I477" s="30">
        <f t="shared" si="61"/>
        <v>0</v>
      </c>
      <c r="J477" s="30">
        <f>SUM($H$18:$H477)</f>
        <v>1168490.0211072355</v>
      </c>
    </row>
    <row r="478" spans="1:10" x14ac:dyDescent="0.2">
      <c r="A478" s="33">
        <f>IF(Values_Entered,A477+1,"")</f>
        <v>461</v>
      </c>
      <c r="B478" s="32">
        <f t="shared" si="56"/>
        <v>55304</v>
      </c>
      <c r="C478" s="30">
        <f t="shared" si="62"/>
        <v>0</v>
      </c>
      <c r="D478" s="30">
        <f t="shared" si="57"/>
        <v>6354.694503075656</v>
      </c>
      <c r="E478" s="31">
        <f t="shared" si="58"/>
        <v>0</v>
      </c>
      <c r="F478" s="30">
        <f t="shared" si="59"/>
        <v>0</v>
      </c>
      <c r="G478" s="30">
        <f t="shared" si="60"/>
        <v>0</v>
      </c>
      <c r="H478" s="30">
        <f t="shared" si="63"/>
        <v>0</v>
      </c>
      <c r="I478" s="30">
        <f t="shared" si="61"/>
        <v>0</v>
      </c>
      <c r="J478" s="30">
        <f>SUM($H$18:$H478)</f>
        <v>1168490.0211072355</v>
      </c>
    </row>
    <row r="479" spans="1:10" x14ac:dyDescent="0.2">
      <c r="A479" s="33">
        <f>IF(Values_Entered,A478+1,"")</f>
        <v>462</v>
      </c>
      <c r="B479" s="32">
        <f t="shared" si="56"/>
        <v>55335</v>
      </c>
      <c r="C479" s="30">
        <f t="shared" si="62"/>
        <v>0</v>
      </c>
      <c r="D479" s="30">
        <f t="shared" si="57"/>
        <v>6354.694503075656</v>
      </c>
      <c r="E479" s="31">
        <f t="shared" si="58"/>
        <v>0</v>
      </c>
      <c r="F479" s="30">
        <f t="shared" si="59"/>
        <v>0</v>
      </c>
      <c r="G479" s="30">
        <f t="shared" si="60"/>
        <v>0</v>
      </c>
      <c r="H479" s="30">
        <f t="shared" si="63"/>
        <v>0</v>
      </c>
      <c r="I479" s="30">
        <f t="shared" si="61"/>
        <v>0</v>
      </c>
      <c r="J479" s="30">
        <f>SUM($H$18:$H479)</f>
        <v>1168490.0211072355</v>
      </c>
    </row>
    <row r="480" spans="1:10" x14ac:dyDescent="0.2">
      <c r="A480" s="33">
        <f>IF(Values_Entered,A479+1,"")</f>
        <v>463</v>
      </c>
      <c r="B480" s="32">
        <f t="shared" si="56"/>
        <v>55365</v>
      </c>
      <c r="C480" s="30">
        <f t="shared" si="62"/>
        <v>0</v>
      </c>
      <c r="D480" s="30">
        <f t="shared" si="57"/>
        <v>6354.694503075656</v>
      </c>
      <c r="E480" s="31">
        <f t="shared" si="58"/>
        <v>0</v>
      </c>
      <c r="F480" s="30">
        <f t="shared" si="59"/>
        <v>0</v>
      </c>
      <c r="G480" s="30">
        <f t="shared" si="60"/>
        <v>0</v>
      </c>
      <c r="H480" s="30">
        <f t="shared" si="63"/>
        <v>0</v>
      </c>
      <c r="I480" s="30">
        <f t="shared" si="61"/>
        <v>0</v>
      </c>
      <c r="J480" s="30">
        <f>SUM($H$18:$H480)</f>
        <v>1168490.0211072355</v>
      </c>
    </row>
    <row r="481" spans="1:10" x14ac:dyDescent="0.2">
      <c r="A481" s="33">
        <f>IF(Values_Entered,A480+1,"")</f>
        <v>464</v>
      </c>
      <c r="B481" s="32">
        <f t="shared" si="56"/>
        <v>55396</v>
      </c>
      <c r="C481" s="30">
        <f t="shared" si="62"/>
        <v>0</v>
      </c>
      <c r="D481" s="30">
        <f t="shared" si="57"/>
        <v>6354.694503075656</v>
      </c>
      <c r="E481" s="31">
        <f t="shared" si="58"/>
        <v>0</v>
      </c>
      <c r="F481" s="30">
        <f t="shared" si="59"/>
        <v>0</v>
      </c>
      <c r="G481" s="30">
        <f t="shared" si="60"/>
        <v>0</v>
      </c>
      <c r="H481" s="30">
        <f t="shared" si="63"/>
        <v>0</v>
      </c>
      <c r="I481" s="30">
        <f t="shared" si="61"/>
        <v>0</v>
      </c>
      <c r="J481" s="30">
        <f>SUM($H$18:$H481)</f>
        <v>1168490.0211072355</v>
      </c>
    </row>
    <row r="482" spans="1:10" x14ac:dyDescent="0.2">
      <c r="A482" s="33">
        <f>IF(Values_Entered,A481+1,"")</f>
        <v>465</v>
      </c>
      <c r="B482" s="32">
        <f t="shared" si="56"/>
        <v>55427</v>
      </c>
      <c r="C482" s="30">
        <f t="shared" si="62"/>
        <v>0</v>
      </c>
      <c r="D482" s="30">
        <f t="shared" si="57"/>
        <v>6354.694503075656</v>
      </c>
      <c r="E482" s="31">
        <f t="shared" si="58"/>
        <v>0</v>
      </c>
      <c r="F482" s="30">
        <f t="shared" si="59"/>
        <v>0</v>
      </c>
      <c r="G482" s="30">
        <f t="shared" si="60"/>
        <v>0</v>
      </c>
      <c r="H482" s="30">
        <f t="shared" si="63"/>
        <v>0</v>
      </c>
      <c r="I482" s="30">
        <f t="shared" si="61"/>
        <v>0</v>
      </c>
      <c r="J482" s="30">
        <f>SUM($H$18:$H482)</f>
        <v>1168490.0211072355</v>
      </c>
    </row>
    <row r="483" spans="1:10" x14ac:dyDescent="0.2">
      <c r="A483" s="33">
        <f>IF(Values_Entered,A482+1,"")</f>
        <v>466</v>
      </c>
      <c r="B483" s="32">
        <f t="shared" si="56"/>
        <v>55457</v>
      </c>
      <c r="C483" s="30">
        <f t="shared" si="62"/>
        <v>0</v>
      </c>
      <c r="D483" s="30">
        <f t="shared" si="57"/>
        <v>6354.694503075656</v>
      </c>
      <c r="E483" s="31">
        <f t="shared" si="58"/>
        <v>0</v>
      </c>
      <c r="F483" s="30">
        <f t="shared" si="59"/>
        <v>0</v>
      </c>
      <c r="G483" s="30">
        <f t="shared" si="60"/>
        <v>0</v>
      </c>
      <c r="H483" s="30">
        <f t="shared" si="63"/>
        <v>0</v>
      </c>
      <c r="I483" s="30">
        <f t="shared" si="61"/>
        <v>0</v>
      </c>
      <c r="J483" s="30">
        <f>SUM($H$18:$H483)</f>
        <v>1168490.0211072355</v>
      </c>
    </row>
    <row r="484" spans="1:10" x14ac:dyDescent="0.2">
      <c r="A484" s="33">
        <f>IF(Values_Entered,A483+1,"")</f>
        <v>467</v>
      </c>
      <c r="B484" s="32">
        <f t="shared" si="56"/>
        <v>55488</v>
      </c>
      <c r="C484" s="30">
        <f t="shared" si="62"/>
        <v>0</v>
      </c>
      <c r="D484" s="30">
        <f t="shared" si="57"/>
        <v>6354.694503075656</v>
      </c>
      <c r="E484" s="31">
        <f t="shared" si="58"/>
        <v>0</v>
      </c>
      <c r="F484" s="30">
        <f t="shared" si="59"/>
        <v>0</v>
      </c>
      <c r="G484" s="30">
        <f t="shared" si="60"/>
        <v>0</v>
      </c>
      <c r="H484" s="30">
        <f t="shared" si="63"/>
        <v>0</v>
      </c>
      <c r="I484" s="30">
        <f t="shared" si="61"/>
        <v>0</v>
      </c>
      <c r="J484" s="30">
        <f>SUM($H$18:$H484)</f>
        <v>1168490.0211072355</v>
      </c>
    </row>
    <row r="485" spans="1:10" x14ac:dyDescent="0.2">
      <c r="A485" s="33">
        <f>IF(Values_Entered,A484+1,"")</f>
        <v>468</v>
      </c>
      <c r="B485" s="32">
        <f t="shared" si="56"/>
        <v>55518</v>
      </c>
      <c r="C485" s="30">
        <f t="shared" si="62"/>
        <v>0</v>
      </c>
      <c r="D485" s="30">
        <f t="shared" si="57"/>
        <v>6354.694503075656</v>
      </c>
      <c r="E485" s="31">
        <f t="shared" si="58"/>
        <v>0</v>
      </c>
      <c r="F485" s="30">
        <f t="shared" si="59"/>
        <v>0</v>
      </c>
      <c r="G485" s="30">
        <f t="shared" si="60"/>
        <v>0</v>
      </c>
      <c r="H485" s="30">
        <f t="shared" si="63"/>
        <v>0</v>
      </c>
      <c r="I485" s="30">
        <f t="shared" si="61"/>
        <v>0</v>
      </c>
      <c r="J485" s="30">
        <f>SUM($H$18:$H485)</f>
        <v>1168490.0211072355</v>
      </c>
    </row>
    <row r="486" spans="1:10" x14ac:dyDescent="0.2">
      <c r="A486" s="33">
        <f>IF(Values_Entered,A485+1,"")</f>
        <v>469</v>
      </c>
      <c r="B486" s="32">
        <f t="shared" si="56"/>
        <v>55549</v>
      </c>
      <c r="C486" s="30">
        <f t="shared" si="62"/>
        <v>0</v>
      </c>
      <c r="D486" s="30">
        <f t="shared" si="57"/>
        <v>6354.694503075656</v>
      </c>
      <c r="E486" s="31">
        <f t="shared" si="58"/>
        <v>0</v>
      </c>
      <c r="F486" s="30">
        <f t="shared" si="59"/>
        <v>0</v>
      </c>
      <c r="G486" s="30">
        <f t="shared" si="60"/>
        <v>0</v>
      </c>
      <c r="H486" s="30">
        <f t="shared" si="63"/>
        <v>0</v>
      </c>
      <c r="I486" s="30">
        <f t="shared" si="61"/>
        <v>0</v>
      </c>
      <c r="J486" s="30">
        <f>SUM($H$18:$H486)</f>
        <v>1168490.0211072355</v>
      </c>
    </row>
    <row r="487" spans="1:10" x14ac:dyDescent="0.2">
      <c r="A487" s="33">
        <f>IF(Values_Entered,A486+1,"")</f>
        <v>470</v>
      </c>
      <c r="B487" s="32">
        <f t="shared" si="56"/>
        <v>55580</v>
      </c>
      <c r="C487" s="30">
        <f t="shared" si="62"/>
        <v>0</v>
      </c>
      <c r="D487" s="30">
        <f t="shared" si="57"/>
        <v>6354.694503075656</v>
      </c>
      <c r="E487" s="31">
        <f t="shared" si="58"/>
        <v>0</v>
      </c>
      <c r="F487" s="30">
        <f t="shared" si="59"/>
        <v>0</v>
      </c>
      <c r="G487" s="30">
        <f t="shared" si="60"/>
        <v>0</v>
      </c>
      <c r="H487" s="30">
        <f t="shared" si="63"/>
        <v>0</v>
      </c>
      <c r="I487" s="30">
        <f t="shared" si="61"/>
        <v>0</v>
      </c>
      <c r="J487" s="30">
        <f>SUM($H$18:$H487)</f>
        <v>1168490.0211072355</v>
      </c>
    </row>
    <row r="488" spans="1:10" x14ac:dyDescent="0.2">
      <c r="A488" s="33">
        <f>IF(Values_Entered,A487+1,"")</f>
        <v>471</v>
      </c>
      <c r="B488" s="32">
        <f t="shared" si="56"/>
        <v>55609</v>
      </c>
      <c r="C488" s="30">
        <f t="shared" si="62"/>
        <v>0</v>
      </c>
      <c r="D488" s="30">
        <f t="shared" si="57"/>
        <v>6354.694503075656</v>
      </c>
      <c r="E488" s="31">
        <f t="shared" si="58"/>
        <v>0</v>
      </c>
      <c r="F488" s="30">
        <f t="shared" si="59"/>
        <v>0</v>
      </c>
      <c r="G488" s="30">
        <f t="shared" si="60"/>
        <v>0</v>
      </c>
      <c r="H488" s="30">
        <f t="shared" si="63"/>
        <v>0</v>
      </c>
      <c r="I488" s="30">
        <f t="shared" si="61"/>
        <v>0</v>
      </c>
      <c r="J488" s="30">
        <f>SUM($H$18:$H488)</f>
        <v>1168490.0211072355</v>
      </c>
    </row>
    <row r="489" spans="1:10" x14ac:dyDescent="0.2">
      <c r="A489" s="33">
        <f>IF(Values_Entered,A488+1,"")</f>
        <v>472</v>
      </c>
      <c r="B489" s="32">
        <f t="shared" si="56"/>
        <v>55640</v>
      </c>
      <c r="C489" s="30">
        <f t="shared" si="62"/>
        <v>0</v>
      </c>
      <c r="D489" s="30">
        <f t="shared" si="57"/>
        <v>6354.694503075656</v>
      </c>
      <c r="E489" s="31">
        <f t="shared" si="58"/>
        <v>0</v>
      </c>
      <c r="F489" s="30">
        <f t="shared" si="59"/>
        <v>0</v>
      </c>
      <c r="G489" s="30">
        <f t="shared" si="60"/>
        <v>0</v>
      </c>
      <c r="H489" s="30">
        <f t="shared" si="63"/>
        <v>0</v>
      </c>
      <c r="I489" s="30">
        <f t="shared" si="61"/>
        <v>0</v>
      </c>
      <c r="J489" s="30">
        <f>SUM($H$18:$H489)</f>
        <v>1168490.0211072355</v>
      </c>
    </row>
    <row r="490" spans="1:10" x14ac:dyDescent="0.2">
      <c r="A490" s="33">
        <f>IF(Values_Entered,A489+1,"")</f>
        <v>473</v>
      </c>
      <c r="B490" s="32">
        <f t="shared" si="56"/>
        <v>55670</v>
      </c>
      <c r="C490" s="30">
        <f t="shared" si="62"/>
        <v>0</v>
      </c>
      <c r="D490" s="30">
        <f t="shared" si="57"/>
        <v>6354.694503075656</v>
      </c>
      <c r="E490" s="31">
        <f t="shared" si="58"/>
        <v>0</v>
      </c>
      <c r="F490" s="30">
        <f t="shared" si="59"/>
        <v>0</v>
      </c>
      <c r="G490" s="30">
        <f t="shared" si="60"/>
        <v>0</v>
      </c>
      <c r="H490" s="30">
        <f t="shared" si="63"/>
        <v>0</v>
      </c>
      <c r="I490" s="30">
        <f t="shared" si="61"/>
        <v>0</v>
      </c>
      <c r="J490" s="30">
        <f>SUM($H$18:$H490)</f>
        <v>1168490.0211072355</v>
      </c>
    </row>
    <row r="491" spans="1:10" x14ac:dyDescent="0.2">
      <c r="A491" s="33">
        <f>IF(Values_Entered,A490+1,"")</f>
        <v>474</v>
      </c>
      <c r="B491" s="32">
        <f t="shared" si="56"/>
        <v>55701</v>
      </c>
      <c r="C491" s="30">
        <f t="shared" si="62"/>
        <v>0</v>
      </c>
      <c r="D491" s="30">
        <f t="shared" si="57"/>
        <v>6354.694503075656</v>
      </c>
      <c r="E491" s="31">
        <f t="shared" si="58"/>
        <v>0</v>
      </c>
      <c r="F491" s="30">
        <f t="shared" si="59"/>
        <v>0</v>
      </c>
      <c r="G491" s="30">
        <f t="shared" si="60"/>
        <v>0</v>
      </c>
      <c r="H491" s="30">
        <f t="shared" si="63"/>
        <v>0</v>
      </c>
      <c r="I491" s="30">
        <f t="shared" si="61"/>
        <v>0</v>
      </c>
      <c r="J491" s="30">
        <f>SUM($H$18:$H491)</f>
        <v>1168490.0211072355</v>
      </c>
    </row>
    <row r="492" spans="1:10" x14ac:dyDescent="0.2">
      <c r="A492" s="33">
        <f>IF(Values_Entered,A491+1,"")</f>
        <v>475</v>
      </c>
      <c r="B492" s="32">
        <f t="shared" si="56"/>
        <v>55731</v>
      </c>
      <c r="C492" s="30">
        <f t="shared" si="62"/>
        <v>0</v>
      </c>
      <c r="D492" s="30">
        <f t="shared" si="57"/>
        <v>6354.694503075656</v>
      </c>
      <c r="E492" s="31">
        <f t="shared" si="58"/>
        <v>0</v>
      </c>
      <c r="F492" s="30">
        <f t="shared" si="59"/>
        <v>0</v>
      </c>
      <c r="G492" s="30">
        <f t="shared" si="60"/>
        <v>0</v>
      </c>
      <c r="H492" s="30">
        <f t="shared" si="63"/>
        <v>0</v>
      </c>
      <c r="I492" s="30">
        <f t="shared" si="61"/>
        <v>0</v>
      </c>
      <c r="J492" s="30">
        <f>SUM($H$18:$H492)</f>
        <v>1168490.0211072355</v>
      </c>
    </row>
    <row r="493" spans="1:10" x14ac:dyDescent="0.2">
      <c r="A493" s="33">
        <f>IF(Values_Entered,A492+1,"")</f>
        <v>476</v>
      </c>
      <c r="B493" s="32">
        <f t="shared" si="56"/>
        <v>55762</v>
      </c>
      <c r="C493" s="30">
        <f t="shared" si="62"/>
        <v>0</v>
      </c>
      <c r="D493" s="30">
        <f t="shared" si="57"/>
        <v>6354.694503075656</v>
      </c>
      <c r="E493" s="31">
        <f t="shared" si="58"/>
        <v>0</v>
      </c>
      <c r="F493" s="30">
        <f t="shared" si="59"/>
        <v>0</v>
      </c>
      <c r="G493" s="30">
        <f t="shared" si="60"/>
        <v>0</v>
      </c>
      <c r="H493" s="30">
        <f t="shared" si="63"/>
        <v>0</v>
      </c>
      <c r="I493" s="30">
        <f t="shared" si="61"/>
        <v>0</v>
      </c>
      <c r="J493" s="30">
        <f>SUM($H$18:$H493)</f>
        <v>1168490.0211072355</v>
      </c>
    </row>
    <row r="494" spans="1:10" x14ac:dyDescent="0.2">
      <c r="A494" s="33">
        <f>IF(Values_Entered,A493+1,"")</f>
        <v>477</v>
      </c>
      <c r="B494" s="32">
        <f t="shared" si="56"/>
        <v>55793</v>
      </c>
      <c r="C494" s="30">
        <f t="shared" si="62"/>
        <v>0</v>
      </c>
      <c r="D494" s="30">
        <f t="shared" si="57"/>
        <v>6354.694503075656</v>
      </c>
      <c r="E494" s="31">
        <f t="shared" si="58"/>
        <v>0</v>
      </c>
      <c r="F494" s="30">
        <f t="shared" si="59"/>
        <v>0</v>
      </c>
      <c r="G494" s="30">
        <f t="shared" si="60"/>
        <v>0</v>
      </c>
      <c r="H494" s="30">
        <f t="shared" si="63"/>
        <v>0</v>
      </c>
      <c r="I494" s="30">
        <f t="shared" si="61"/>
        <v>0</v>
      </c>
      <c r="J494" s="30">
        <f>SUM($H$18:$H494)</f>
        <v>1168490.0211072355</v>
      </c>
    </row>
    <row r="495" spans="1:10" x14ac:dyDescent="0.2">
      <c r="A495" s="33">
        <f>IF(Values_Entered,A494+1,"")</f>
        <v>478</v>
      </c>
      <c r="B495" s="32">
        <f t="shared" si="56"/>
        <v>55823</v>
      </c>
      <c r="C495" s="30">
        <f t="shared" si="62"/>
        <v>0</v>
      </c>
      <c r="D495" s="30">
        <f t="shared" si="57"/>
        <v>6354.694503075656</v>
      </c>
      <c r="E495" s="31">
        <f t="shared" si="58"/>
        <v>0</v>
      </c>
      <c r="F495" s="30">
        <f t="shared" si="59"/>
        <v>0</v>
      </c>
      <c r="G495" s="30">
        <f t="shared" si="60"/>
        <v>0</v>
      </c>
      <c r="H495" s="30">
        <f t="shared" si="63"/>
        <v>0</v>
      </c>
      <c r="I495" s="30">
        <f t="shared" si="61"/>
        <v>0</v>
      </c>
      <c r="J495" s="30">
        <f>SUM($H$18:$H495)</f>
        <v>1168490.0211072355</v>
      </c>
    </row>
    <row r="496" spans="1:10" x14ac:dyDescent="0.2">
      <c r="A496" s="33">
        <f>IF(Values_Entered,A495+1,"")</f>
        <v>479</v>
      </c>
      <c r="B496" s="32">
        <f t="shared" si="56"/>
        <v>55854</v>
      </c>
      <c r="C496" s="30">
        <f t="shared" si="62"/>
        <v>0</v>
      </c>
      <c r="D496" s="30">
        <f t="shared" si="57"/>
        <v>6354.694503075656</v>
      </c>
      <c r="E496" s="31">
        <f t="shared" si="58"/>
        <v>0</v>
      </c>
      <c r="F496" s="30">
        <f t="shared" si="59"/>
        <v>0</v>
      </c>
      <c r="G496" s="30">
        <f t="shared" si="60"/>
        <v>0</v>
      </c>
      <c r="H496" s="30">
        <f t="shared" si="63"/>
        <v>0</v>
      </c>
      <c r="I496" s="30">
        <f t="shared" si="61"/>
        <v>0</v>
      </c>
      <c r="J496" s="30">
        <f>SUM($H$18:$H496)</f>
        <v>1168490.0211072355</v>
      </c>
    </row>
    <row r="497" spans="1:10" x14ac:dyDescent="0.2">
      <c r="A497" s="33">
        <f>IF(Values_Entered,A496+1,"")</f>
        <v>480</v>
      </c>
      <c r="B497" s="32">
        <f t="shared" si="56"/>
        <v>55884</v>
      </c>
      <c r="C497" s="30">
        <f t="shared" si="62"/>
        <v>0</v>
      </c>
      <c r="D497" s="30">
        <f t="shared" si="57"/>
        <v>6354.694503075656</v>
      </c>
      <c r="E497" s="31">
        <f t="shared" si="58"/>
        <v>0</v>
      </c>
      <c r="F497" s="30">
        <f t="shared" si="59"/>
        <v>0</v>
      </c>
      <c r="G497" s="30">
        <f t="shared" si="60"/>
        <v>0</v>
      </c>
      <c r="H497" s="30">
        <f t="shared" si="63"/>
        <v>0</v>
      </c>
      <c r="I497" s="30">
        <f t="shared" si="61"/>
        <v>0</v>
      </c>
      <c r="J497" s="30">
        <f>SUM($H$18:$H497)</f>
        <v>1168490.0211072355</v>
      </c>
    </row>
  </sheetData>
  <sheetProtection selectLockedCells="1"/>
  <mergeCells count="4">
    <mergeCell ref="C12:D12"/>
    <mergeCell ref="A4:C4"/>
    <mergeCell ref="E4:G4"/>
    <mergeCell ref="I4:J4"/>
  </mergeCells>
  <conditionalFormatting sqref="A18:E497">
    <cfRule type="expression" dxfId="5" priority="1" stopIfTrue="1">
      <formula>IF(ROW(A18)&gt;Last_Row,TRUE, FALSE)</formula>
    </cfRule>
    <cfRule type="expression" dxfId="4" priority="2" stopIfTrue="1">
      <formula>IF(ROW(A18)=Last_Row,TRUE, FALSE)</formula>
    </cfRule>
    <cfRule type="expression" dxfId="3" priority="3" stopIfTrue="1">
      <formula>IF(ROW(A18)&lt;Last_Row,TRUE, FALSE)</formula>
    </cfRule>
  </conditionalFormatting>
  <conditionalFormatting sqref="F18:J497">
    <cfRule type="expression" dxfId="2" priority="4" stopIfTrue="1">
      <formula>IF(ROW(F18)&gt;Last_Row,TRUE, FALSE)</formula>
    </cfRule>
    <cfRule type="expression" dxfId="1" priority="5" stopIfTrue="1">
      <formula>IF(ROW(F18)=Last_Row,TRUE, FALSE)</formula>
    </cfRule>
    <cfRule type="expression" dxfId="0" priority="6" stopIfTrue="1">
      <formula>IF(ROW(F18)&lt;=Last_Row,TRUE, FALSE)</formula>
    </cfRule>
  </conditionalFormatting>
  <dataValidations count="3"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C10"/>
    <dataValidation type="date" operator="greaterThanOrEqual" allowBlank="1" showInputMessage="1" showErrorMessage="1" errorTitle="Date" error="Please enter a valid date greater than or equal to January 1, 1900." sqref="C9">
      <formula1>1</formula1>
    </dataValidation>
    <dataValidation type="whole" allowBlank="1" showInputMessage="1" showErrorMessage="1" errorTitle="Years" error="Please enter a whole number of years from 1 to 40." sqref="C7">
      <formula1>1</formula1>
      <formula2>40</formula2>
    </dataValidation>
  </dataValidations>
  <pageMargins left="0.5" right="0.5" top="0.5" bottom="0.5" header="0.5" footer="0.5"/>
  <pageSetup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sqref="A1:E1"/>
    </sheetView>
  </sheetViews>
  <sheetFormatPr defaultRowHeight="12.75" outlineLevelCol="1" x14ac:dyDescent="0.2"/>
  <cols>
    <col min="1" max="1" width="30.140625" style="100" customWidth="1"/>
    <col min="2" max="2" width="11.28515625" style="121" bestFit="1" customWidth="1"/>
    <col min="3" max="3" width="7.28515625" style="121" bestFit="1" customWidth="1"/>
    <col min="4" max="4" width="16.28515625" style="100" bestFit="1" customWidth="1" outlineLevel="1"/>
    <col min="5" max="5" width="12.28515625" style="100" customWidth="1"/>
    <col min="6" max="6" width="7.140625" style="100" customWidth="1" outlineLevel="1"/>
    <col min="7" max="7" width="16.28515625" style="100" bestFit="1" customWidth="1" outlineLevel="1"/>
    <col min="8" max="9" width="10.28515625" style="100" bestFit="1" customWidth="1"/>
    <col min="10" max="257" width="9.140625" style="100"/>
    <col min="258" max="258" width="30.140625" style="100" customWidth="1"/>
    <col min="259" max="259" width="9" style="100" bestFit="1" customWidth="1"/>
    <col min="260" max="260" width="0" style="100" hidden="1" customWidth="1"/>
    <col min="261" max="261" width="12.28515625" style="100" customWidth="1"/>
    <col min="262" max="263" width="0" style="100" hidden="1" customWidth="1"/>
    <col min="264" max="264" width="22.7109375" style="100" bestFit="1" customWidth="1"/>
    <col min="265" max="265" width="9.85546875" style="100" bestFit="1" customWidth="1"/>
    <col min="266" max="513" width="9.140625" style="100"/>
    <col min="514" max="514" width="30.140625" style="100" customWidth="1"/>
    <col min="515" max="515" width="9" style="100" bestFit="1" customWidth="1"/>
    <col min="516" max="516" width="0" style="100" hidden="1" customWidth="1"/>
    <col min="517" max="517" width="12.28515625" style="100" customWidth="1"/>
    <col min="518" max="519" width="0" style="100" hidden="1" customWidth="1"/>
    <col min="520" max="520" width="22.7109375" style="100" bestFit="1" customWidth="1"/>
    <col min="521" max="521" width="9.85546875" style="100" bestFit="1" customWidth="1"/>
    <col min="522" max="769" width="9.140625" style="100"/>
    <col min="770" max="770" width="30.140625" style="100" customWidth="1"/>
    <col min="771" max="771" width="9" style="100" bestFit="1" customWidth="1"/>
    <col min="772" max="772" width="0" style="100" hidden="1" customWidth="1"/>
    <col min="773" max="773" width="12.28515625" style="100" customWidth="1"/>
    <col min="774" max="775" width="0" style="100" hidden="1" customWidth="1"/>
    <col min="776" max="776" width="22.7109375" style="100" bestFit="1" customWidth="1"/>
    <col min="777" max="777" width="9.85546875" style="100" bestFit="1" customWidth="1"/>
    <col min="778" max="1025" width="9.140625" style="100"/>
    <col min="1026" max="1026" width="30.140625" style="100" customWidth="1"/>
    <col min="1027" max="1027" width="9" style="100" bestFit="1" customWidth="1"/>
    <col min="1028" max="1028" width="0" style="100" hidden="1" customWidth="1"/>
    <col min="1029" max="1029" width="12.28515625" style="100" customWidth="1"/>
    <col min="1030" max="1031" width="0" style="100" hidden="1" customWidth="1"/>
    <col min="1032" max="1032" width="22.7109375" style="100" bestFit="1" customWidth="1"/>
    <col min="1033" max="1033" width="9.85546875" style="100" bestFit="1" customWidth="1"/>
    <col min="1034" max="1281" width="9.140625" style="100"/>
    <col min="1282" max="1282" width="30.140625" style="100" customWidth="1"/>
    <col min="1283" max="1283" width="9" style="100" bestFit="1" customWidth="1"/>
    <col min="1284" max="1284" width="0" style="100" hidden="1" customWidth="1"/>
    <col min="1285" max="1285" width="12.28515625" style="100" customWidth="1"/>
    <col min="1286" max="1287" width="0" style="100" hidden="1" customWidth="1"/>
    <col min="1288" max="1288" width="22.7109375" style="100" bestFit="1" customWidth="1"/>
    <col min="1289" max="1289" width="9.85546875" style="100" bestFit="1" customWidth="1"/>
    <col min="1290" max="1537" width="9.140625" style="100"/>
    <col min="1538" max="1538" width="30.140625" style="100" customWidth="1"/>
    <col min="1539" max="1539" width="9" style="100" bestFit="1" customWidth="1"/>
    <col min="1540" max="1540" width="0" style="100" hidden="1" customWidth="1"/>
    <col min="1541" max="1541" width="12.28515625" style="100" customWidth="1"/>
    <col min="1542" max="1543" width="0" style="100" hidden="1" customWidth="1"/>
    <col min="1544" max="1544" width="22.7109375" style="100" bestFit="1" customWidth="1"/>
    <col min="1545" max="1545" width="9.85546875" style="100" bestFit="1" customWidth="1"/>
    <col min="1546" max="1793" width="9.140625" style="100"/>
    <col min="1794" max="1794" width="30.140625" style="100" customWidth="1"/>
    <col min="1795" max="1795" width="9" style="100" bestFit="1" customWidth="1"/>
    <col min="1796" max="1796" width="0" style="100" hidden="1" customWidth="1"/>
    <col min="1797" max="1797" width="12.28515625" style="100" customWidth="1"/>
    <col min="1798" max="1799" width="0" style="100" hidden="1" customWidth="1"/>
    <col min="1800" max="1800" width="22.7109375" style="100" bestFit="1" customWidth="1"/>
    <col min="1801" max="1801" width="9.85546875" style="100" bestFit="1" customWidth="1"/>
    <col min="1802" max="2049" width="9.140625" style="100"/>
    <col min="2050" max="2050" width="30.140625" style="100" customWidth="1"/>
    <col min="2051" max="2051" width="9" style="100" bestFit="1" customWidth="1"/>
    <col min="2052" max="2052" width="0" style="100" hidden="1" customWidth="1"/>
    <col min="2053" max="2053" width="12.28515625" style="100" customWidth="1"/>
    <col min="2054" max="2055" width="0" style="100" hidden="1" customWidth="1"/>
    <col min="2056" max="2056" width="22.7109375" style="100" bestFit="1" customWidth="1"/>
    <col min="2057" max="2057" width="9.85546875" style="100" bestFit="1" customWidth="1"/>
    <col min="2058" max="2305" width="9.140625" style="100"/>
    <col min="2306" max="2306" width="30.140625" style="100" customWidth="1"/>
    <col min="2307" max="2307" width="9" style="100" bestFit="1" customWidth="1"/>
    <col min="2308" max="2308" width="0" style="100" hidden="1" customWidth="1"/>
    <col min="2309" max="2309" width="12.28515625" style="100" customWidth="1"/>
    <col min="2310" max="2311" width="0" style="100" hidden="1" customWidth="1"/>
    <col min="2312" max="2312" width="22.7109375" style="100" bestFit="1" customWidth="1"/>
    <col min="2313" max="2313" width="9.85546875" style="100" bestFit="1" customWidth="1"/>
    <col min="2314" max="2561" width="9.140625" style="100"/>
    <col min="2562" max="2562" width="30.140625" style="100" customWidth="1"/>
    <col min="2563" max="2563" width="9" style="100" bestFit="1" customWidth="1"/>
    <col min="2564" max="2564" width="0" style="100" hidden="1" customWidth="1"/>
    <col min="2565" max="2565" width="12.28515625" style="100" customWidth="1"/>
    <col min="2566" max="2567" width="0" style="100" hidden="1" customWidth="1"/>
    <col min="2568" max="2568" width="22.7109375" style="100" bestFit="1" customWidth="1"/>
    <col min="2569" max="2569" width="9.85546875" style="100" bestFit="1" customWidth="1"/>
    <col min="2570" max="2817" width="9.140625" style="100"/>
    <col min="2818" max="2818" width="30.140625" style="100" customWidth="1"/>
    <col min="2819" max="2819" width="9" style="100" bestFit="1" customWidth="1"/>
    <col min="2820" max="2820" width="0" style="100" hidden="1" customWidth="1"/>
    <col min="2821" max="2821" width="12.28515625" style="100" customWidth="1"/>
    <col min="2822" max="2823" width="0" style="100" hidden="1" customWidth="1"/>
    <col min="2824" max="2824" width="22.7109375" style="100" bestFit="1" customWidth="1"/>
    <col min="2825" max="2825" width="9.85546875" style="100" bestFit="1" customWidth="1"/>
    <col min="2826" max="3073" width="9.140625" style="100"/>
    <col min="3074" max="3074" width="30.140625" style="100" customWidth="1"/>
    <col min="3075" max="3075" width="9" style="100" bestFit="1" customWidth="1"/>
    <col min="3076" max="3076" width="0" style="100" hidden="1" customWidth="1"/>
    <col min="3077" max="3077" width="12.28515625" style="100" customWidth="1"/>
    <col min="3078" max="3079" width="0" style="100" hidden="1" customWidth="1"/>
    <col min="3080" max="3080" width="22.7109375" style="100" bestFit="1" customWidth="1"/>
    <col min="3081" max="3081" width="9.85546875" style="100" bestFit="1" customWidth="1"/>
    <col min="3082" max="3329" width="9.140625" style="100"/>
    <col min="3330" max="3330" width="30.140625" style="100" customWidth="1"/>
    <col min="3331" max="3331" width="9" style="100" bestFit="1" customWidth="1"/>
    <col min="3332" max="3332" width="0" style="100" hidden="1" customWidth="1"/>
    <col min="3333" max="3333" width="12.28515625" style="100" customWidth="1"/>
    <col min="3334" max="3335" width="0" style="100" hidden="1" customWidth="1"/>
    <col min="3336" max="3336" width="22.7109375" style="100" bestFit="1" customWidth="1"/>
    <col min="3337" max="3337" width="9.85546875" style="100" bestFit="1" customWidth="1"/>
    <col min="3338" max="3585" width="9.140625" style="100"/>
    <col min="3586" max="3586" width="30.140625" style="100" customWidth="1"/>
    <col min="3587" max="3587" width="9" style="100" bestFit="1" customWidth="1"/>
    <col min="3588" max="3588" width="0" style="100" hidden="1" customWidth="1"/>
    <col min="3589" max="3589" width="12.28515625" style="100" customWidth="1"/>
    <col min="3590" max="3591" width="0" style="100" hidden="1" customWidth="1"/>
    <col min="3592" max="3592" width="22.7109375" style="100" bestFit="1" customWidth="1"/>
    <col min="3593" max="3593" width="9.85546875" style="100" bestFit="1" customWidth="1"/>
    <col min="3594" max="3841" width="9.140625" style="100"/>
    <col min="3842" max="3842" width="30.140625" style="100" customWidth="1"/>
    <col min="3843" max="3843" width="9" style="100" bestFit="1" customWidth="1"/>
    <col min="3844" max="3844" width="0" style="100" hidden="1" customWidth="1"/>
    <col min="3845" max="3845" width="12.28515625" style="100" customWidth="1"/>
    <col min="3846" max="3847" width="0" style="100" hidden="1" customWidth="1"/>
    <col min="3848" max="3848" width="22.7109375" style="100" bestFit="1" customWidth="1"/>
    <col min="3849" max="3849" width="9.85546875" style="100" bestFit="1" customWidth="1"/>
    <col min="3850" max="4097" width="9.140625" style="100"/>
    <col min="4098" max="4098" width="30.140625" style="100" customWidth="1"/>
    <col min="4099" max="4099" width="9" style="100" bestFit="1" customWidth="1"/>
    <col min="4100" max="4100" width="0" style="100" hidden="1" customWidth="1"/>
    <col min="4101" max="4101" width="12.28515625" style="100" customWidth="1"/>
    <col min="4102" max="4103" width="0" style="100" hidden="1" customWidth="1"/>
    <col min="4104" max="4104" width="22.7109375" style="100" bestFit="1" customWidth="1"/>
    <col min="4105" max="4105" width="9.85546875" style="100" bestFit="1" customWidth="1"/>
    <col min="4106" max="4353" width="9.140625" style="100"/>
    <col min="4354" max="4354" width="30.140625" style="100" customWidth="1"/>
    <col min="4355" max="4355" width="9" style="100" bestFit="1" customWidth="1"/>
    <col min="4356" max="4356" width="0" style="100" hidden="1" customWidth="1"/>
    <col min="4357" max="4357" width="12.28515625" style="100" customWidth="1"/>
    <col min="4358" max="4359" width="0" style="100" hidden="1" customWidth="1"/>
    <col min="4360" max="4360" width="22.7109375" style="100" bestFit="1" customWidth="1"/>
    <col min="4361" max="4361" width="9.85546875" style="100" bestFit="1" customWidth="1"/>
    <col min="4362" max="4609" width="9.140625" style="100"/>
    <col min="4610" max="4610" width="30.140625" style="100" customWidth="1"/>
    <col min="4611" max="4611" width="9" style="100" bestFit="1" customWidth="1"/>
    <col min="4612" max="4612" width="0" style="100" hidden="1" customWidth="1"/>
    <col min="4613" max="4613" width="12.28515625" style="100" customWidth="1"/>
    <col min="4614" max="4615" width="0" style="100" hidden="1" customWidth="1"/>
    <col min="4616" max="4616" width="22.7109375" style="100" bestFit="1" customWidth="1"/>
    <col min="4617" max="4617" width="9.85546875" style="100" bestFit="1" customWidth="1"/>
    <col min="4618" max="4865" width="9.140625" style="100"/>
    <col min="4866" max="4866" width="30.140625" style="100" customWidth="1"/>
    <col min="4867" max="4867" width="9" style="100" bestFit="1" customWidth="1"/>
    <col min="4868" max="4868" width="0" style="100" hidden="1" customWidth="1"/>
    <col min="4869" max="4869" width="12.28515625" style="100" customWidth="1"/>
    <col min="4870" max="4871" width="0" style="100" hidden="1" customWidth="1"/>
    <col min="4872" max="4872" width="22.7109375" style="100" bestFit="1" customWidth="1"/>
    <col min="4873" max="4873" width="9.85546875" style="100" bestFit="1" customWidth="1"/>
    <col min="4874" max="5121" width="9.140625" style="100"/>
    <col min="5122" max="5122" width="30.140625" style="100" customWidth="1"/>
    <col min="5123" max="5123" width="9" style="100" bestFit="1" customWidth="1"/>
    <col min="5124" max="5124" width="0" style="100" hidden="1" customWidth="1"/>
    <col min="5125" max="5125" width="12.28515625" style="100" customWidth="1"/>
    <col min="5126" max="5127" width="0" style="100" hidden="1" customWidth="1"/>
    <col min="5128" max="5128" width="22.7109375" style="100" bestFit="1" customWidth="1"/>
    <col min="5129" max="5129" width="9.85546875" style="100" bestFit="1" customWidth="1"/>
    <col min="5130" max="5377" width="9.140625" style="100"/>
    <col min="5378" max="5378" width="30.140625" style="100" customWidth="1"/>
    <col min="5379" max="5379" width="9" style="100" bestFit="1" customWidth="1"/>
    <col min="5380" max="5380" width="0" style="100" hidden="1" customWidth="1"/>
    <col min="5381" max="5381" width="12.28515625" style="100" customWidth="1"/>
    <col min="5382" max="5383" width="0" style="100" hidden="1" customWidth="1"/>
    <col min="5384" max="5384" width="22.7109375" style="100" bestFit="1" customWidth="1"/>
    <col min="5385" max="5385" width="9.85546875" style="100" bestFit="1" customWidth="1"/>
    <col min="5386" max="5633" width="9.140625" style="100"/>
    <col min="5634" max="5634" width="30.140625" style="100" customWidth="1"/>
    <col min="5635" max="5635" width="9" style="100" bestFit="1" customWidth="1"/>
    <col min="5636" max="5636" width="0" style="100" hidden="1" customWidth="1"/>
    <col min="5637" max="5637" width="12.28515625" style="100" customWidth="1"/>
    <col min="5638" max="5639" width="0" style="100" hidden="1" customWidth="1"/>
    <col min="5640" max="5640" width="22.7109375" style="100" bestFit="1" customWidth="1"/>
    <col min="5641" max="5641" width="9.85546875" style="100" bestFit="1" customWidth="1"/>
    <col min="5642" max="5889" width="9.140625" style="100"/>
    <col min="5890" max="5890" width="30.140625" style="100" customWidth="1"/>
    <col min="5891" max="5891" width="9" style="100" bestFit="1" customWidth="1"/>
    <col min="5892" max="5892" width="0" style="100" hidden="1" customWidth="1"/>
    <col min="5893" max="5893" width="12.28515625" style="100" customWidth="1"/>
    <col min="5894" max="5895" width="0" style="100" hidden="1" customWidth="1"/>
    <col min="5896" max="5896" width="22.7109375" style="100" bestFit="1" customWidth="1"/>
    <col min="5897" max="5897" width="9.85546875" style="100" bestFit="1" customWidth="1"/>
    <col min="5898" max="6145" width="9.140625" style="100"/>
    <col min="6146" max="6146" width="30.140625" style="100" customWidth="1"/>
    <col min="6147" max="6147" width="9" style="100" bestFit="1" customWidth="1"/>
    <col min="6148" max="6148" width="0" style="100" hidden="1" customWidth="1"/>
    <col min="6149" max="6149" width="12.28515625" style="100" customWidth="1"/>
    <col min="6150" max="6151" width="0" style="100" hidden="1" customWidth="1"/>
    <col min="6152" max="6152" width="22.7109375" style="100" bestFit="1" customWidth="1"/>
    <col min="6153" max="6153" width="9.85546875" style="100" bestFit="1" customWidth="1"/>
    <col min="6154" max="6401" width="9.140625" style="100"/>
    <col min="6402" max="6402" width="30.140625" style="100" customWidth="1"/>
    <col min="6403" max="6403" width="9" style="100" bestFit="1" customWidth="1"/>
    <col min="6404" max="6404" width="0" style="100" hidden="1" customWidth="1"/>
    <col min="6405" max="6405" width="12.28515625" style="100" customWidth="1"/>
    <col min="6406" max="6407" width="0" style="100" hidden="1" customWidth="1"/>
    <col min="6408" max="6408" width="22.7109375" style="100" bestFit="1" customWidth="1"/>
    <col min="6409" max="6409" width="9.85546875" style="100" bestFit="1" customWidth="1"/>
    <col min="6410" max="6657" width="9.140625" style="100"/>
    <col min="6658" max="6658" width="30.140625" style="100" customWidth="1"/>
    <col min="6659" max="6659" width="9" style="100" bestFit="1" customWidth="1"/>
    <col min="6660" max="6660" width="0" style="100" hidden="1" customWidth="1"/>
    <col min="6661" max="6661" width="12.28515625" style="100" customWidth="1"/>
    <col min="6662" max="6663" width="0" style="100" hidden="1" customWidth="1"/>
    <col min="6664" max="6664" width="22.7109375" style="100" bestFit="1" customWidth="1"/>
    <col min="6665" max="6665" width="9.85546875" style="100" bestFit="1" customWidth="1"/>
    <col min="6666" max="6913" width="9.140625" style="100"/>
    <col min="6914" max="6914" width="30.140625" style="100" customWidth="1"/>
    <col min="6915" max="6915" width="9" style="100" bestFit="1" customWidth="1"/>
    <col min="6916" max="6916" width="0" style="100" hidden="1" customWidth="1"/>
    <col min="6917" max="6917" width="12.28515625" style="100" customWidth="1"/>
    <col min="6918" max="6919" width="0" style="100" hidden="1" customWidth="1"/>
    <col min="6920" max="6920" width="22.7109375" style="100" bestFit="1" customWidth="1"/>
    <col min="6921" max="6921" width="9.85546875" style="100" bestFit="1" customWidth="1"/>
    <col min="6922" max="7169" width="9.140625" style="100"/>
    <col min="7170" max="7170" width="30.140625" style="100" customWidth="1"/>
    <col min="7171" max="7171" width="9" style="100" bestFit="1" customWidth="1"/>
    <col min="7172" max="7172" width="0" style="100" hidden="1" customWidth="1"/>
    <col min="7173" max="7173" width="12.28515625" style="100" customWidth="1"/>
    <col min="7174" max="7175" width="0" style="100" hidden="1" customWidth="1"/>
    <col min="7176" max="7176" width="22.7109375" style="100" bestFit="1" customWidth="1"/>
    <col min="7177" max="7177" width="9.85546875" style="100" bestFit="1" customWidth="1"/>
    <col min="7178" max="7425" width="9.140625" style="100"/>
    <col min="7426" max="7426" width="30.140625" style="100" customWidth="1"/>
    <col min="7427" max="7427" width="9" style="100" bestFit="1" customWidth="1"/>
    <col min="7428" max="7428" width="0" style="100" hidden="1" customWidth="1"/>
    <col min="7429" max="7429" width="12.28515625" style="100" customWidth="1"/>
    <col min="7430" max="7431" width="0" style="100" hidden="1" customWidth="1"/>
    <col min="7432" max="7432" width="22.7109375" style="100" bestFit="1" customWidth="1"/>
    <col min="7433" max="7433" width="9.85546875" style="100" bestFit="1" customWidth="1"/>
    <col min="7434" max="7681" width="9.140625" style="100"/>
    <col min="7682" max="7682" width="30.140625" style="100" customWidth="1"/>
    <col min="7683" max="7683" width="9" style="100" bestFit="1" customWidth="1"/>
    <col min="7684" max="7684" width="0" style="100" hidden="1" customWidth="1"/>
    <col min="7685" max="7685" width="12.28515625" style="100" customWidth="1"/>
    <col min="7686" max="7687" width="0" style="100" hidden="1" customWidth="1"/>
    <col min="7688" max="7688" width="22.7109375" style="100" bestFit="1" customWidth="1"/>
    <col min="7689" max="7689" width="9.85546875" style="100" bestFit="1" customWidth="1"/>
    <col min="7690" max="7937" width="9.140625" style="100"/>
    <col min="7938" max="7938" width="30.140625" style="100" customWidth="1"/>
    <col min="7939" max="7939" width="9" style="100" bestFit="1" customWidth="1"/>
    <col min="7940" max="7940" width="0" style="100" hidden="1" customWidth="1"/>
    <col min="7941" max="7941" width="12.28515625" style="100" customWidth="1"/>
    <col min="7942" max="7943" width="0" style="100" hidden="1" customWidth="1"/>
    <col min="7944" max="7944" width="22.7109375" style="100" bestFit="1" customWidth="1"/>
    <col min="7945" max="7945" width="9.85546875" style="100" bestFit="1" customWidth="1"/>
    <col min="7946" max="8193" width="9.140625" style="100"/>
    <col min="8194" max="8194" width="30.140625" style="100" customWidth="1"/>
    <col min="8195" max="8195" width="9" style="100" bestFit="1" customWidth="1"/>
    <col min="8196" max="8196" width="0" style="100" hidden="1" customWidth="1"/>
    <col min="8197" max="8197" width="12.28515625" style="100" customWidth="1"/>
    <col min="8198" max="8199" width="0" style="100" hidden="1" customWidth="1"/>
    <col min="8200" max="8200" width="22.7109375" style="100" bestFit="1" customWidth="1"/>
    <col min="8201" max="8201" width="9.85546875" style="100" bestFit="1" customWidth="1"/>
    <col min="8202" max="8449" width="9.140625" style="100"/>
    <col min="8450" max="8450" width="30.140625" style="100" customWidth="1"/>
    <col min="8451" max="8451" width="9" style="100" bestFit="1" customWidth="1"/>
    <col min="8452" max="8452" width="0" style="100" hidden="1" customWidth="1"/>
    <col min="8453" max="8453" width="12.28515625" style="100" customWidth="1"/>
    <col min="8454" max="8455" width="0" style="100" hidden="1" customWidth="1"/>
    <col min="8456" max="8456" width="22.7109375" style="100" bestFit="1" customWidth="1"/>
    <col min="8457" max="8457" width="9.85546875" style="100" bestFit="1" customWidth="1"/>
    <col min="8458" max="8705" width="9.140625" style="100"/>
    <col min="8706" max="8706" width="30.140625" style="100" customWidth="1"/>
    <col min="8707" max="8707" width="9" style="100" bestFit="1" customWidth="1"/>
    <col min="8708" max="8708" width="0" style="100" hidden="1" customWidth="1"/>
    <col min="8709" max="8709" width="12.28515625" style="100" customWidth="1"/>
    <col min="8710" max="8711" width="0" style="100" hidden="1" customWidth="1"/>
    <col min="8712" max="8712" width="22.7109375" style="100" bestFit="1" customWidth="1"/>
    <col min="8713" max="8713" width="9.85546875" style="100" bestFit="1" customWidth="1"/>
    <col min="8714" max="8961" width="9.140625" style="100"/>
    <col min="8962" max="8962" width="30.140625" style="100" customWidth="1"/>
    <col min="8963" max="8963" width="9" style="100" bestFit="1" customWidth="1"/>
    <col min="8964" max="8964" width="0" style="100" hidden="1" customWidth="1"/>
    <col min="8965" max="8965" width="12.28515625" style="100" customWidth="1"/>
    <col min="8966" max="8967" width="0" style="100" hidden="1" customWidth="1"/>
    <col min="8968" max="8968" width="22.7109375" style="100" bestFit="1" customWidth="1"/>
    <col min="8969" max="8969" width="9.85546875" style="100" bestFit="1" customWidth="1"/>
    <col min="8970" max="9217" width="9.140625" style="100"/>
    <col min="9218" max="9218" width="30.140625" style="100" customWidth="1"/>
    <col min="9219" max="9219" width="9" style="100" bestFit="1" customWidth="1"/>
    <col min="9220" max="9220" width="0" style="100" hidden="1" customWidth="1"/>
    <col min="9221" max="9221" width="12.28515625" style="100" customWidth="1"/>
    <col min="9222" max="9223" width="0" style="100" hidden="1" customWidth="1"/>
    <col min="9224" max="9224" width="22.7109375" style="100" bestFit="1" customWidth="1"/>
    <col min="9225" max="9225" width="9.85546875" style="100" bestFit="1" customWidth="1"/>
    <col min="9226" max="9473" width="9.140625" style="100"/>
    <col min="9474" max="9474" width="30.140625" style="100" customWidth="1"/>
    <col min="9475" max="9475" width="9" style="100" bestFit="1" customWidth="1"/>
    <col min="9476" max="9476" width="0" style="100" hidden="1" customWidth="1"/>
    <col min="9477" max="9477" width="12.28515625" style="100" customWidth="1"/>
    <col min="9478" max="9479" width="0" style="100" hidden="1" customWidth="1"/>
    <col min="9480" max="9480" width="22.7109375" style="100" bestFit="1" customWidth="1"/>
    <col min="9481" max="9481" width="9.85546875" style="100" bestFit="1" customWidth="1"/>
    <col min="9482" max="9729" width="9.140625" style="100"/>
    <col min="9730" max="9730" width="30.140625" style="100" customWidth="1"/>
    <col min="9731" max="9731" width="9" style="100" bestFit="1" customWidth="1"/>
    <col min="9732" max="9732" width="0" style="100" hidden="1" customWidth="1"/>
    <col min="9733" max="9733" width="12.28515625" style="100" customWidth="1"/>
    <col min="9734" max="9735" width="0" style="100" hidden="1" customWidth="1"/>
    <col min="9736" max="9736" width="22.7109375" style="100" bestFit="1" customWidth="1"/>
    <col min="9737" max="9737" width="9.85546875" style="100" bestFit="1" customWidth="1"/>
    <col min="9738" max="9985" width="9.140625" style="100"/>
    <col min="9986" max="9986" width="30.140625" style="100" customWidth="1"/>
    <col min="9987" max="9987" width="9" style="100" bestFit="1" customWidth="1"/>
    <col min="9988" max="9988" width="0" style="100" hidden="1" customWidth="1"/>
    <col min="9989" max="9989" width="12.28515625" style="100" customWidth="1"/>
    <col min="9990" max="9991" width="0" style="100" hidden="1" customWidth="1"/>
    <col min="9992" max="9992" width="22.7109375" style="100" bestFit="1" customWidth="1"/>
    <col min="9993" max="9993" width="9.85546875" style="100" bestFit="1" customWidth="1"/>
    <col min="9994" max="10241" width="9.140625" style="100"/>
    <col min="10242" max="10242" width="30.140625" style="100" customWidth="1"/>
    <col min="10243" max="10243" width="9" style="100" bestFit="1" customWidth="1"/>
    <col min="10244" max="10244" width="0" style="100" hidden="1" customWidth="1"/>
    <col min="10245" max="10245" width="12.28515625" style="100" customWidth="1"/>
    <col min="10246" max="10247" width="0" style="100" hidden="1" customWidth="1"/>
    <col min="10248" max="10248" width="22.7109375" style="100" bestFit="1" customWidth="1"/>
    <col min="10249" max="10249" width="9.85546875" style="100" bestFit="1" customWidth="1"/>
    <col min="10250" max="10497" width="9.140625" style="100"/>
    <col min="10498" max="10498" width="30.140625" style="100" customWidth="1"/>
    <col min="10499" max="10499" width="9" style="100" bestFit="1" customWidth="1"/>
    <col min="10500" max="10500" width="0" style="100" hidden="1" customWidth="1"/>
    <col min="10501" max="10501" width="12.28515625" style="100" customWidth="1"/>
    <col min="10502" max="10503" width="0" style="100" hidden="1" customWidth="1"/>
    <col min="10504" max="10504" width="22.7109375" style="100" bestFit="1" customWidth="1"/>
    <col min="10505" max="10505" width="9.85546875" style="100" bestFit="1" customWidth="1"/>
    <col min="10506" max="10753" width="9.140625" style="100"/>
    <col min="10754" max="10754" width="30.140625" style="100" customWidth="1"/>
    <col min="10755" max="10755" width="9" style="100" bestFit="1" customWidth="1"/>
    <col min="10756" max="10756" width="0" style="100" hidden="1" customWidth="1"/>
    <col min="10757" max="10757" width="12.28515625" style="100" customWidth="1"/>
    <col min="10758" max="10759" width="0" style="100" hidden="1" customWidth="1"/>
    <col min="10760" max="10760" width="22.7109375" style="100" bestFit="1" customWidth="1"/>
    <col min="10761" max="10761" width="9.85546875" style="100" bestFit="1" customWidth="1"/>
    <col min="10762" max="11009" width="9.140625" style="100"/>
    <col min="11010" max="11010" width="30.140625" style="100" customWidth="1"/>
    <col min="11011" max="11011" width="9" style="100" bestFit="1" customWidth="1"/>
    <col min="11012" max="11012" width="0" style="100" hidden="1" customWidth="1"/>
    <col min="11013" max="11013" width="12.28515625" style="100" customWidth="1"/>
    <col min="11014" max="11015" width="0" style="100" hidden="1" customWidth="1"/>
    <col min="11016" max="11016" width="22.7109375" style="100" bestFit="1" customWidth="1"/>
    <col min="11017" max="11017" width="9.85546875" style="100" bestFit="1" customWidth="1"/>
    <col min="11018" max="11265" width="9.140625" style="100"/>
    <col min="11266" max="11266" width="30.140625" style="100" customWidth="1"/>
    <col min="11267" max="11267" width="9" style="100" bestFit="1" customWidth="1"/>
    <col min="11268" max="11268" width="0" style="100" hidden="1" customWidth="1"/>
    <col min="11269" max="11269" width="12.28515625" style="100" customWidth="1"/>
    <col min="11270" max="11271" width="0" style="100" hidden="1" customWidth="1"/>
    <col min="11272" max="11272" width="22.7109375" style="100" bestFit="1" customWidth="1"/>
    <col min="11273" max="11273" width="9.85546875" style="100" bestFit="1" customWidth="1"/>
    <col min="11274" max="11521" width="9.140625" style="100"/>
    <col min="11522" max="11522" width="30.140625" style="100" customWidth="1"/>
    <col min="11523" max="11523" width="9" style="100" bestFit="1" customWidth="1"/>
    <col min="11524" max="11524" width="0" style="100" hidden="1" customWidth="1"/>
    <col min="11525" max="11525" width="12.28515625" style="100" customWidth="1"/>
    <col min="11526" max="11527" width="0" style="100" hidden="1" customWidth="1"/>
    <col min="11528" max="11528" width="22.7109375" style="100" bestFit="1" customWidth="1"/>
    <col min="11529" max="11529" width="9.85546875" style="100" bestFit="1" customWidth="1"/>
    <col min="11530" max="11777" width="9.140625" style="100"/>
    <col min="11778" max="11778" width="30.140625" style="100" customWidth="1"/>
    <col min="11779" max="11779" width="9" style="100" bestFit="1" customWidth="1"/>
    <col min="11780" max="11780" width="0" style="100" hidden="1" customWidth="1"/>
    <col min="11781" max="11781" width="12.28515625" style="100" customWidth="1"/>
    <col min="11782" max="11783" width="0" style="100" hidden="1" customWidth="1"/>
    <col min="11784" max="11784" width="22.7109375" style="100" bestFit="1" customWidth="1"/>
    <col min="11785" max="11785" width="9.85546875" style="100" bestFit="1" customWidth="1"/>
    <col min="11786" max="12033" width="9.140625" style="100"/>
    <col min="12034" max="12034" width="30.140625" style="100" customWidth="1"/>
    <col min="12035" max="12035" width="9" style="100" bestFit="1" customWidth="1"/>
    <col min="12036" max="12036" width="0" style="100" hidden="1" customWidth="1"/>
    <col min="12037" max="12037" width="12.28515625" style="100" customWidth="1"/>
    <col min="12038" max="12039" width="0" style="100" hidden="1" customWidth="1"/>
    <col min="12040" max="12040" width="22.7109375" style="100" bestFit="1" customWidth="1"/>
    <col min="12041" max="12041" width="9.85546875" style="100" bestFit="1" customWidth="1"/>
    <col min="12042" max="12289" width="9.140625" style="100"/>
    <col min="12290" max="12290" width="30.140625" style="100" customWidth="1"/>
    <col min="12291" max="12291" width="9" style="100" bestFit="1" customWidth="1"/>
    <col min="12292" max="12292" width="0" style="100" hidden="1" customWidth="1"/>
    <col min="12293" max="12293" width="12.28515625" style="100" customWidth="1"/>
    <col min="12294" max="12295" width="0" style="100" hidden="1" customWidth="1"/>
    <col min="12296" max="12296" width="22.7109375" style="100" bestFit="1" customWidth="1"/>
    <col min="12297" max="12297" width="9.85546875" style="100" bestFit="1" customWidth="1"/>
    <col min="12298" max="12545" width="9.140625" style="100"/>
    <col min="12546" max="12546" width="30.140625" style="100" customWidth="1"/>
    <col min="12547" max="12547" width="9" style="100" bestFit="1" customWidth="1"/>
    <col min="12548" max="12548" width="0" style="100" hidden="1" customWidth="1"/>
    <col min="12549" max="12549" width="12.28515625" style="100" customWidth="1"/>
    <col min="12550" max="12551" width="0" style="100" hidden="1" customWidth="1"/>
    <col min="12552" max="12552" width="22.7109375" style="100" bestFit="1" customWidth="1"/>
    <col min="12553" max="12553" width="9.85546875" style="100" bestFit="1" customWidth="1"/>
    <col min="12554" max="12801" width="9.140625" style="100"/>
    <col min="12802" max="12802" width="30.140625" style="100" customWidth="1"/>
    <col min="12803" max="12803" width="9" style="100" bestFit="1" customWidth="1"/>
    <col min="12804" max="12804" width="0" style="100" hidden="1" customWidth="1"/>
    <col min="12805" max="12805" width="12.28515625" style="100" customWidth="1"/>
    <col min="12806" max="12807" width="0" style="100" hidden="1" customWidth="1"/>
    <col min="12808" max="12808" width="22.7109375" style="100" bestFit="1" customWidth="1"/>
    <col min="12809" max="12809" width="9.85546875" style="100" bestFit="1" customWidth="1"/>
    <col min="12810" max="13057" width="9.140625" style="100"/>
    <col min="13058" max="13058" width="30.140625" style="100" customWidth="1"/>
    <col min="13059" max="13059" width="9" style="100" bestFit="1" customWidth="1"/>
    <col min="13060" max="13060" width="0" style="100" hidden="1" customWidth="1"/>
    <col min="13061" max="13061" width="12.28515625" style="100" customWidth="1"/>
    <col min="13062" max="13063" width="0" style="100" hidden="1" customWidth="1"/>
    <col min="13064" max="13064" width="22.7109375" style="100" bestFit="1" customWidth="1"/>
    <col min="13065" max="13065" width="9.85546875" style="100" bestFit="1" customWidth="1"/>
    <col min="13066" max="13313" width="9.140625" style="100"/>
    <col min="13314" max="13314" width="30.140625" style="100" customWidth="1"/>
    <col min="13315" max="13315" width="9" style="100" bestFit="1" customWidth="1"/>
    <col min="13316" max="13316" width="0" style="100" hidden="1" customWidth="1"/>
    <col min="13317" max="13317" width="12.28515625" style="100" customWidth="1"/>
    <col min="13318" max="13319" width="0" style="100" hidden="1" customWidth="1"/>
    <col min="13320" max="13320" width="22.7109375" style="100" bestFit="1" customWidth="1"/>
    <col min="13321" max="13321" width="9.85546875" style="100" bestFit="1" customWidth="1"/>
    <col min="13322" max="13569" width="9.140625" style="100"/>
    <col min="13570" max="13570" width="30.140625" style="100" customWidth="1"/>
    <col min="13571" max="13571" width="9" style="100" bestFit="1" customWidth="1"/>
    <col min="13572" max="13572" width="0" style="100" hidden="1" customWidth="1"/>
    <col min="13573" max="13573" width="12.28515625" style="100" customWidth="1"/>
    <col min="13574" max="13575" width="0" style="100" hidden="1" customWidth="1"/>
    <col min="13576" max="13576" width="22.7109375" style="100" bestFit="1" customWidth="1"/>
    <col min="13577" max="13577" width="9.85546875" style="100" bestFit="1" customWidth="1"/>
    <col min="13578" max="13825" width="9.140625" style="100"/>
    <col min="13826" max="13826" width="30.140625" style="100" customWidth="1"/>
    <col min="13827" max="13827" width="9" style="100" bestFit="1" customWidth="1"/>
    <col min="13828" max="13828" width="0" style="100" hidden="1" customWidth="1"/>
    <col min="13829" max="13829" width="12.28515625" style="100" customWidth="1"/>
    <col min="13830" max="13831" width="0" style="100" hidden="1" customWidth="1"/>
    <col min="13832" max="13832" width="22.7109375" style="100" bestFit="1" customWidth="1"/>
    <col min="13833" max="13833" width="9.85546875" style="100" bestFit="1" customWidth="1"/>
    <col min="13834" max="14081" width="9.140625" style="100"/>
    <col min="14082" max="14082" width="30.140625" style="100" customWidth="1"/>
    <col min="14083" max="14083" width="9" style="100" bestFit="1" customWidth="1"/>
    <col min="14084" max="14084" width="0" style="100" hidden="1" customWidth="1"/>
    <col min="14085" max="14085" width="12.28515625" style="100" customWidth="1"/>
    <col min="14086" max="14087" width="0" style="100" hidden="1" customWidth="1"/>
    <col min="14088" max="14088" width="22.7109375" style="100" bestFit="1" customWidth="1"/>
    <col min="14089" max="14089" width="9.85546875" style="100" bestFit="1" customWidth="1"/>
    <col min="14090" max="14337" width="9.140625" style="100"/>
    <col min="14338" max="14338" width="30.140625" style="100" customWidth="1"/>
    <col min="14339" max="14339" width="9" style="100" bestFit="1" customWidth="1"/>
    <col min="14340" max="14340" width="0" style="100" hidden="1" customWidth="1"/>
    <col min="14341" max="14341" width="12.28515625" style="100" customWidth="1"/>
    <col min="14342" max="14343" width="0" style="100" hidden="1" customWidth="1"/>
    <col min="14344" max="14344" width="22.7109375" style="100" bestFit="1" customWidth="1"/>
    <col min="14345" max="14345" width="9.85546875" style="100" bestFit="1" customWidth="1"/>
    <col min="14346" max="14593" width="9.140625" style="100"/>
    <col min="14594" max="14594" width="30.140625" style="100" customWidth="1"/>
    <col min="14595" max="14595" width="9" style="100" bestFit="1" customWidth="1"/>
    <col min="14596" max="14596" width="0" style="100" hidden="1" customWidth="1"/>
    <col min="14597" max="14597" width="12.28515625" style="100" customWidth="1"/>
    <col min="14598" max="14599" width="0" style="100" hidden="1" customWidth="1"/>
    <col min="14600" max="14600" width="22.7109375" style="100" bestFit="1" customWidth="1"/>
    <col min="14601" max="14601" width="9.85546875" style="100" bestFit="1" customWidth="1"/>
    <col min="14602" max="14849" width="9.140625" style="100"/>
    <col min="14850" max="14850" width="30.140625" style="100" customWidth="1"/>
    <col min="14851" max="14851" width="9" style="100" bestFit="1" customWidth="1"/>
    <col min="14852" max="14852" width="0" style="100" hidden="1" customWidth="1"/>
    <col min="14853" max="14853" width="12.28515625" style="100" customWidth="1"/>
    <col min="14854" max="14855" width="0" style="100" hidden="1" customWidth="1"/>
    <col min="14856" max="14856" width="22.7109375" style="100" bestFit="1" customWidth="1"/>
    <col min="14857" max="14857" width="9.85546875" style="100" bestFit="1" customWidth="1"/>
    <col min="14858" max="15105" width="9.140625" style="100"/>
    <col min="15106" max="15106" width="30.140625" style="100" customWidth="1"/>
    <col min="15107" max="15107" width="9" style="100" bestFit="1" customWidth="1"/>
    <col min="15108" max="15108" width="0" style="100" hidden="1" customWidth="1"/>
    <col min="15109" max="15109" width="12.28515625" style="100" customWidth="1"/>
    <col min="15110" max="15111" width="0" style="100" hidden="1" customWidth="1"/>
    <col min="15112" max="15112" width="22.7109375" style="100" bestFit="1" customWidth="1"/>
    <col min="15113" max="15113" width="9.85546875" style="100" bestFit="1" customWidth="1"/>
    <col min="15114" max="15361" width="9.140625" style="100"/>
    <col min="15362" max="15362" width="30.140625" style="100" customWidth="1"/>
    <col min="15363" max="15363" width="9" style="100" bestFit="1" customWidth="1"/>
    <col min="15364" max="15364" width="0" style="100" hidden="1" customWidth="1"/>
    <col min="15365" max="15365" width="12.28515625" style="100" customWidth="1"/>
    <col min="15366" max="15367" width="0" style="100" hidden="1" customWidth="1"/>
    <col min="15368" max="15368" width="22.7109375" style="100" bestFit="1" customWidth="1"/>
    <col min="15369" max="15369" width="9.85546875" style="100" bestFit="1" customWidth="1"/>
    <col min="15370" max="15617" width="9.140625" style="100"/>
    <col min="15618" max="15618" width="30.140625" style="100" customWidth="1"/>
    <col min="15619" max="15619" width="9" style="100" bestFit="1" customWidth="1"/>
    <col min="15620" max="15620" width="0" style="100" hidden="1" customWidth="1"/>
    <col min="15621" max="15621" width="12.28515625" style="100" customWidth="1"/>
    <col min="15622" max="15623" width="0" style="100" hidden="1" customWidth="1"/>
    <col min="15624" max="15624" width="22.7109375" style="100" bestFit="1" customWidth="1"/>
    <col min="15625" max="15625" width="9.85546875" style="100" bestFit="1" customWidth="1"/>
    <col min="15626" max="15873" width="9.140625" style="100"/>
    <col min="15874" max="15874" width="30.140625" style="100" customWidth="1"/>
    <col min="15875" max="15875" width="9" style="100" bestFit="1" customWidth="1"/>
    <col min="15876" max="15876" width="0" style="100" hidden="1" customWidth="1"/>
    <col min="15877" max="15877" width="12.28515625" style="100" customWidth="1"/>
    <col min="15878" max="15879" width="0" style="100" hidden="1" customWidth="1"/>
    <col min="15880" max="15880" width="22.7109375" style="100" bestFit="1" customWidth="1"/>
    <col min="15881" max="15881" width="9.85546875" style="100" bestFit="1" customWidth="1"/>
    <col min="15882" max="16129" width="9.140625" style="100"/>
    <col min="16130" max="16130" width="30.140625" style="100" customWidth="1"/>
    <col min="16131" max="16131" width="9" style="100" bestFit="1" customWidth="1"/>
    <col min="16132" max="16132" width="0" style="100" hidden="1" customWidth="1"/>
    <col min="16133" max="16133" width="12.28515625" style="100" customWidth="1"/>
    <col min="16134" max="16135" width="0" style="100" hidden="1" customWidth="1"/>
    <col min="16136" max="16136" width="22.7109375" style="100" bestFit="1" customWidth="1"/>
    <col min="16137" max="16137" width="9.85546875" style="100" bestFit="1" customWidth="1"/>
    <col min="16138" max="16384" width="9.140625" style="100"/>
  </cols>
  <sheetData>
    <row r="1" spans="1:9" ht="15.75" customHeight="1" thickBot="1" x14ac:dyDescent="0.25">
      <c r="A1" s="181" t="s">
        <v>163</v>
      </c>
      <c r="B1" s="181"/>
      <c r="C1" s="181"/>
      <c r="D1" s="181"/>
      <c r="E1" s="181"/>
      <c r="F1" s="170"/>
      <c r="G1" s="170"/>
      <c r="H1" s="170"/>
      <c r="I1" s="151"/>
    </row>
    <row r="2" spans="1:9" x14ac:dyDescent="0.2">
      <c r="A2" s="98" t="s">
        <v>103</v>
      </c>
      <c r="B2" s="122" t="s">
        <v>104</v>
      </c>
      <c r="C2" s="123" t="s">
        <v>105</v>
      </c>
      <c r="D2" s="98" t="s">
        <v>106</v>
      </c>
      <c r="E2" s="99" t="s">
        <v>104</v>
      </c>
    </row>
    <row r="3" spans="1:9" x14ac:dyDescent="0.2">
      <c r="A3" s="101" t="s">
        <v>107</v>
      </c>
      <c r="B3" s="91"/>
      <c r="C3" s="102">
        <v>0</v>
      </c>
      <c r="D3" s="101" t="s">
        <v>17</v>
      </c>
      <c r="E3" s="103">
        <f>Proforma!AA44</f>
        <v>1274602.850743646</v>
      </c>
      <c r="H3" s="104"/>
    </row>
    <row r="4" spans="1:9" ht="12" customHeight="1" thickBot="1" x14ac:dyDescent="0.25">
      <c r="A4" s="101" t="s">
        <v>184</v>
      </c>
      <c r="B4" s="91">
        <f>Proforma!AA41</f>
        <v>668794.00499290577</v>
      </c>
      <c r="C4" s="102">
        <v>5.5E-2</v>
      </c>
      <c r="D4" s="124" t="str">
        <f>Proforma!H43</f>
        <v>Capital</v>
      </c>
      <c r="E4" s="92">
        <f>Proforma!AA43</f>
        <v>299800</v>
      </c>
      <c r="H4" s="104"/>
    </row>
    <row r="5" spans="1:9" ht="13.5" thickBot="1" x14ac:dyDescent="0.25">
      <c r="A5" s="106" t="s">
        <v>108</v>
      </c>
      <c r="B5" s="107">
        <f>SUM(B3:B4)</f>
        <v>668794.00499290577</v>
      </c>
      <c r="C5" s="108">
        <f>SUM(C3:C4)</f>
        <v>5.5E-2</v>
      </c>
      <c r="D5" s="105" t="s">
        <v>108</v>
      </c>
      <c r="E5" s="93">
        <f>SUM(E3:E4)</f>
        <v>1574402.850743646</v>
      </c>
    </row>
    <row r="6" spans="1:9" x14ac:dyDescent="0.2">
      <c r="A6" s="98" t="s">
        <v>110</v>
      </c>
      <c r="B6" s="140">
        <v>0.92</v>
      </c>
      <c r="C6" s="100"/>
    </row>
    <row r="7" spans="1:9" x14ac:dyDescent="0.2">
      <c r="A7" s="101" t="s">
        <v>111</v>
      </c>
      <c r="B7" s="94">
        <v>2.7400000000000001E-2</v>
      </c>
      <c r="C7" s="100"/>
      <c r="H7" s="137"/>
    </row>
    <row r="8" spans="1:9" ht="13.5" thickBot="1" x14ac:dyDescent="0.25">
      <c r="A8" s="105" t="s">
        <v>112</v>
      </c>
      <c r="B8" s="94">
        <v>9.0550000000000005E-2</v>
      </c>
      <c r="C8" s="100"/>
      <c r="H8" s="137"/>
    </row>
    <row r="9" spans="1:9" x14ac:dyDescent="0.2">
      <c r="A9" s="98" t="s">
        <v>113</v>
      </c>
      <c r="B9" s="110">
        <f>B10*B6</f>
        <v>5.8098000000000011E-2</v>
      </c>
      <c r="C9" s="100"/>
    </row>
    <row r="10" spans="1:9" x14ac:dyDescent="0.2">
      <c r="A10" s="101" t="s">
        <v>114</v>
      </c>
      <c r="B10" s="111">
        <f>B8-B7</f>
        <v>6.3150000000000012E-2</v>
      </c>
      <c r="C10" s="100"/>
    </row>
    <row r="11" spans="1:9" ht="13.5" thickBot="1" x14ac:dyDescent="0.25">
      <c r="A11" s="105" t="s">
        <v>115</v>
      </c>
      <c r="B11" s="112">
        <f>B9+B7</f>
        <v>8.5498000000000018E-2</v>
      </c>
      <c r="C11" s="100"/>
    </row>
    <row r="12" spans="1:9" x14ac:dyDescent="0.2">
      <c r="A12" s="98" t="s">
        <v>116</v>
      </c>
      <c r="B12" s="110">
        <f>B5/(B5+E5)</f>
        <v>0.29814325179825013</v>
      </c>
      <c r="C12" s="100"/>
    </row>
    <row r="13" spans="1:9" x14ac:dyDescent="0.2">
      <c r="A13" s="113" t="s">
        <v>109</v>
      </c>
      <c r="B13" s="111">
        <f>C5</f>
        <v>5.5E-2</v>
      </c>
      <c r="C13" s="100"/>
    </row>
    <row r="14" spans="1:9" ht="13.5" thickBot="1" x14ac:dyDescent="0.25">
      <c r="A14" s="105" t="s">
        <v>117</v>
      </c>
      <c r="B14" s="95">
        <f>Proforma!C51</f>
        <v>0.15</v>
      </c>
      <c r="C14" s="100"/>
    </row>
    <row r="15" spans="1:9" ht="13.5" thickBot="1" x14ac:dyDescent="0.25">
      <c r="A15" s="106" t="s">
        <v>118</v>
      </c>
      <c r="B15" s="114">
        <f>B12*B13*(1-B14)</f>
        <v>1.3938197021568193E-2</v>
      </c>
      <c r="C15" s="100"/>
    </row>
    <row r="16" spans="1:9" x14ac:dyDescent="0.2">
      <c r="A16" s="98" t="s">
        <v>119</v>
      </c>
      <c r="B16" s="110">
        <f>1-B12</f>
        <v>0.70185674820174992</v>
      </c>
      <c r="C16" s="100"/>
    </row>
    <row r="17" spans="1:6" x14ac:dyDescent="0.2">
      <c r="A17" s="101" t="str">
        <f>A11</f>
        <v>CAPM, Actual Return of my stock</v>
      </c>
      <c r="B17" s="111">
        <f>B11</f>
        <v>8.5498000000000018E-2</v>
      </c>
      <c r="C17" s="138"/>
      <c r="D17" s="138"/>
      <c r="E17" s="138"/>
    </row>
    <row r="18" spans="1:6" ht="13.5" thickBot="1" x14ac:dyDescent="0.25">
      <c r="A18" s="115" t="s">
        <v>120</v>
      </c>
      <c r="B18" s="116">
        <f>B16*B17</f>
        <v>6.0007348257753231E-2</v>
      </c>
      <c r="C18" s="138"/>
      <c r="D18" s="138"/>
      <c r="E18" s="138"/>
    </row>
    <row r="19" spans="1:6" ht="13.5" thickBot="1" x14ac:dyDescent="0.25">
      <c r="A19" s="141" t="s">
        <v>121</v>
      </c>
      <c r="B19" s="142">
        <f>B18+B15</f>
        <v>7.3945545279321429E-2</v>
      </c>
      <c r="C19" s="150"/>
      <c r="D19" s="150"/>
      <c r="E19" s="150"/>
    </row>
    <row r="20" spans="1:6" x14ac:dyDescent="0.2">
      <c r="A20" s="109" t="s">
        <v>53</v>
      </c>
      <c r="B20" s="117">
        <f>B19/(1-B14)*(B5+E5)</f>
        <v>195146.37019564546</v>
      </c>
      <c r="C20" s="139"/>
      <c r="D20" s="139"/>
      <c r="E20" s="139"/>
    </row>
    <row r="21" spans="1:6" x14ac:dyDescent="0.2">
      <c r="A21" s="101" t="s">
        <v>122</v>
      </c>
      <c r="B21" s="118">
        <f>C5*B5</f>
        <v>36783.670274609816</v>
      </c>
      <c r="C21" s="139"/>
      <c r="D21" s="139"/>
      <c r="E21" s="139"/>
    </row>
    <row r="22" spans="1:6" x14ac:dyDescent="0.2">
      <c r="A22" s="101" t="s">
        <v>123</v>
      </c>
      <c r="B22" s="118">
        <f>B20-B21</f>
        <v>158362.69992103564</v>
      </c>
      <c r="C22" s="139"/>
      <c r="D22" s="139"/>
      <c r="E22" s="139"/>
      <c r="F22" s="119"/>
    </row>
    <row r="23" spans="1:6" x14ac:dyDescent="0.2">
      <c r="A23" s="101" t="s">
        <v>124</v>
      </c>
      <c r="B23" s="118">
        <f>B22*B14</f>
        <v>23754.404988155347</v>
      </c>
      <c r="C23" s="139"/>
      <c r="D23" s="139"/>
      <c r="E23" s="139"/>
    </row>
    <row r="24" spans="1:6" ht="13.5" thickBot="1" x14ac:dyDescent="0.25">
      <c r="A24" s="115" t="s">
        <v>11</v>
      </c>
      <c r="B24" s="120">
        <f>B22-B23</f>
        <v>134608.29493288029</v>
      </c>
      <c r="C24" s="139"/>
      <c r="D24" s="139"/>
      <c r="E24" s="139"/>
    </row>
    <row r="25" spans="1:6" x14ac:dyDescent="0.2">
      <c r="A25" s="98" t="s">
        <v>125</v>
      </c>
      <c r="B25" s="96">
        <v>0.2</v>
      </c>
      <c r="C25" s="149"/>
      <c r="D25" s="149"/>
      <c r="E25" s="149"/>
    </row>
    <row r="26" spans="1:6" ht="13.5" thickBot="1" x14ac:dyDescent="0.25">
      <c r="A26" s="115" t="s">
        <v>126</v>
      </c>
      <c r="B26" s="97">
        <f>1-B25</f>
        <v>0.8</v>
      </c>
      <c r="C26" s="149"/>
      <c r="D26" s="149"/>
      <c r="E26" s="149"/>
    </row>
    <row r="27" spans="1:6" ht="13.5" thickBot="1" x14ac:dyDescent="0.25">
      <c r="A27" s="141" t="s">
        <v>169</v>
      </c>
      <c r="B27" s="143">
        <f>B6/(1+(1-B14)*(B12/B16))</f>
        <v>0.67593712208400114</v>
      </c>
      <c r="C27" s="152"/>
      <c r="D27" s="152"/>
      <c r="E27" s="152"/>
    </row>
    <row r="28" spans="1:6" ht="13.5" thickBot="1" x14ac:dyDescent="0.25">
      <c r="A28" s="144" t="s">
        <v>127</v>
      </c>
      <c r="B28" s="145">
        <f>(B27*(1+(1-B14)*B25/B26))</f>
        <v>0.81957376052685127</v>
      </c>
      <c r="C28" s="100"/>
    </row>
    <row r="29" spans="1:6" x14ac:dyDescent="0.2">
      <c r="B29" s="104"/>
      <c r="C29" s="104"/>
    </row>
    <row r="30" spans="1:6" ht="13.5" thickBot="1" x14ac:dyDescent="0.25">
      <c r="B30" s="172" t="s">
        <v>180</v>
      </c>
      <c r="C30" s="171" t="s">
        <v>172</v>
      </c>
      <c r="D30" s="173" t="s">
        <v>181</v>
      </c>
    </row>
    <row r="31" spans="1:6" x14ac:dyDescent="0.2">
      <c r="A31" s="157" t="s">
        <v>110</v>
      </c>
      <c r="B31" s="158">
        <v>0.29299999999999998</v>
      </c>
      <c r="C31" s="159">
        <v>1.23</v>
      </c>
      <c r="D31" s="160">
        <v>1.99</v>
      </c>
    </row>
    <row r="32" spans="1:6" x14ac:dyDescent="0.2">
      <c r="A32" s="161" t="s">
        <v>164</v>
      </c>
      <c r="B32" s="154">
        <v>1.06</v>
      </c>
      <c r="C32" s="153">
        <v>83.33</v>
      </c>
      <c r="D32" s="162">
        <v>35968.53</v>
      </c>
    </row>
    <row r="33" spans="1:5" x14ac:dyDescent="0.2">
      <c r="A33" s="161" t="s">
        <v>165</v>
      </c>
      <c r="B33" s="154">
        <v>1</v>
      </c>
      <c r="C33" s="153">
        <v>195.07</v>
      </c>
      <c r="D33" s="162">
        <v>51826</v>
      </c>
    </row>
    <row r="34" spans="1:5" x14ac:dyDescent="0.2">
      <c r="A34" s="161" t="s">
        <v>166</v>
      </c>
      <c r="B34" s="155">
        <f>B32/(B32+B33)</f>
        <v>0.5145631067961165</v>
      </c>
      <c r="C34" s="155">
        <f t="shared" ref="C34:D34" si="0">C32/(C32+C33)</f>
        <v>0.29931752873563222</v>
      </c>
      <c r="D34" s="163">
        <f t="shared" si="0"/>
        <v>0.40968987475643415</v>
      </c>
    </row>
    <row r="35" spans="1:5" x14ac:dyDescent="0.2">
      <c r="A35" s="161" t="s">
        <v>167</v>
      </c>
      <c r="B35" s="155">
        <f>1-B34</f>
        <v>0.4854368932038835</v>
      </c>
      <c r="C35" s="155">
        <f>1-C34</f>
        <v>0.70068247126436778</v>
      </c>
      <c r="D35" s="163">
        <f>1-D34</f>
        <v>0.59031012524356585</v>
      </c>
    </row>
    <row r="36" spans="1:5" x14ac:dyDescent="0.2">
      <c r="A36" s="161" t="s">
        <v>168</v>
      </c>
      <c r="B36" s="155">
        <v>0.35</v>
      </c>
      <c r="C36" s="155">
        <f>B36</f>
        <v>0.35</v>
      </c>
      <c r="D36" s="163">
        <f>C36</f>
        <v>0.35</v>
      </c>
    </row>
    <row r="37" spans="1:5" x14ac:dyDescent="0.2">
      <c r="A37" s="161" t="str">
        <f>A27</f>
        <v>Unlevered Beta</v>
      </c>
      <c r="B37" s="156">
        <f>B31/(1+(1-B36)*(B34/B35))</f>
        <v>0.17347542924807577</v>
      </c>
      <c r="C37" s="156">
        <f>C31/(1+(1-C36)*(C34/C35))</f>
        <v>0.96269216340434405</v>
      </c>
      <c r="D37" s="164">
        <f>D31/(1+(1-D36)*(D34/D35))</f>
        <v>1.3713581981977407</v>
      </c>
    </row>
    <row r="38" spans="1:5" ht="13.5" thickBot="1" x14ac:dyDescent="0.25">
      <c r="A38" s="165" t="s">
        <v>127</v>
      </c>
      <c r="B38" s="166">
        <f>(B37*(1+(1-$B$14)*$B$25/$B$26))</f>
        <v>0.21033895796329186</v>
      </c>
      <c r="C38" s="166">
        <f t="shared" ref="C38:D38" si="1">(C37*(1+(1-$B$14)*$B$25/$B$26))</f>
        <v>1.1672642481277671</v>
      </c>
      <c r="D38" s="167">
        <f t="shared" si="1"/>
        <v>1.6627718153147606</v>
      </c>
      <c r="E38" s="168">
        <f>AVERAGE(B38:D38)</f>
        <v>1.0134583404686064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22</vt:i4>
      </vt:variant>
    </vt:vector>
  </HeadingPairs>
  <TitlesOfParts>
    <vt:vector size="26" baseType="lpstr">
      <vt:lpstr>Proforma</vt:lpstr>
      <vt:lpstr>NPV.IRR</vt:lpstr>
      <vt:lpstr>Mortgage</vt:lpstr>
      <vt:lpstr>WACC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Mortgage!Print_Titles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2013-12-19T18:51:53Z</dcterms:created>
  <dcterms:modified xsi:type="dcterms:W3CDTF">2019-05-16T21:40:50Z</dcterms:modified>
</cp:coreProperties>
</file>