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5" windowWidth="15480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6" i="1" l="1"/>
  <c r="F5" i="1"/>
  <c r="E5" i="1"/>
  <c r="D5" i="1"/>
  <c r="G91" i="1"/>
  <c r="F92" i="1" s="1"/>
  <c r="D87" i="1"/>
  <c r="E87" i="1"/>
  <c r="F87" i="1"/>
  <c r="C87" i="1"/>
  <c r="C57" i="1" l="1"/>
  <c r="D57" i="1" s="1"/>
  <c r="E57" i="1" s="1"/>
  <c r="F57" i="1" s="1"/>
  <c r="D52" i="1"/>
  <c r="E52" i="1"/>
  <c r="F52" i="1"/>
  <c r="C52" i="1"/>
  <c r="B14" i="2"/>
  <c r="H13" i="2"/>
  <c r="G13" i="2"/>
  <c r="F13" i="2"/>
  <c r="E13" i="2"/>
  <c r="C13" i="2"/>
  <c r="C12" i="1"/>
  <c r="C27" i="1" s="1"/>
  <c r="C8" i="1"/>
  <c r="D8" i="1" s="1"/>
  <c r="E8" i="1" s="1"/>
  <c r="F8" i="1" s="1"/>
  <c r="C6" i="1"/>
  <c r="D9" i="1"/>
  <c r="D28" i="1" s="1"/>
  <c r="C28" i="1"/>
  <c r="C2" i="1"/>
  <c r="D2" i="1" s="1"/>
  <c r="C5" i="1"/>
  <c r="E2" i="1" l="1"/>
  <c r="F2" i="1" s="1"/>
  <c r="D32" i="1"/>
  <c r="F32" i="1"/>
  <c r="E32" i="1"/>
  <c r="C32" i="1"/>
  <c r="B67" i="1"/>
  <c r="F68" i="1"/>
  <c r="B66" i="1"/>
  <c r="C21" i="1"/>
  <c r="E9" i="1"/>
  <c r="F9" i="1" s="1"/>
  <c r="F28" i="1" s="1"/>
  <c r="D6" i="1"/>
  <c r="D21" i="1" s="1"/>
  <c r="D12" i="1"/>
  <c r="E12" i="1" s="1"/>
  <c r="F12" i="1" s="1"/>
  <c r="F27" i="1" s="1"/>
  <c r="E28" i="1"/>
  <c r="E75" i="1" l="1"/>
  <c r="B73" i="1" s="1"/>
  <c r="B76" i="1" s="1"/>
  <c r="E27" i="1"/>
  <c r="C45" i="1"/>
  <c r="C95" i="1" s="1"/>
  <c r="B77" i="1"/>
  <c r="C25" i="1"/>
  <c r="C29" i="1" s="1"/>
  <c r="C31" i="1" s="1"/>
  <c r="F70" i="1"/>
  <c r="F71" i="1" s="1"/>
  <c r="B79" i="1" s="1"/>
  <c r="B110" i="1" s="1"/>
  <c r="D27" i="1"/>
  <c r="E6" i="1"/>
  <c r="D44" i="1"/>
  <c r="E44" i="1"/>
  <c r="F44" i="1"/>
  <c r="C43" i="1"/>
  <c r="C44" i="1" s="1"/>
  <c r="C84" i="1" l="1"/>
  <c r="C33" i="1"/>
  <c r="C34" i="1" s="1"/>
  <c r="B107" i="1"/>
  <c r="D25" i="1"/>
  <c r="D29" i="1" s="1"/>
  <c r="D31" i="1" s="1"/>
  <c r="F6" i="1"/>
  <c r="F21" i="1" s="1"/>
  <c r="E21" i="1"/>
  <c r="D45" i="1"/>
  <c r="C46" i="1"/>
  <c r="C35" i="1"/>
  <c r="H14" i="2"/>
  <c r="C3" i="2"/>
  <c r="D14" i="2"/>
  <c r="H15" i="2"/>
  <c r="G15" i="2"/>
  <c r="F15" i="2"/>
  <c r="D13" i="2"/>
  <c r="B13" i="2"/>
  <c r="B15" i="2" s="1"/>
  <c r="E14" i="2" l="1"/>
  <c r="E15" i="2" s="1"/>
  <c r="C14" i="2"/>
  <c r="C15" i="2" s="1"/>
  <c r="D15" i="2"/>
  <c r="C85" i="1"/>
  <c r="C98" i="1" s="1"/>
  <c r="D84" i="1"/>
  <c r="D33" i="1"/>
  <c r="D46" i="1"/>
  <c r="D95" i="1"/>
  <c r="E25" i="1"/>
  <c r="E29" i="1" s="1"/>
  <c r="E31" i="1" s="1"/>
  <c r="F25" i="1"/>
  <c r="J15" i="2"/>
  <c r="C49" i="1" s="1"/>
  <c r="C97" i="1" s="1"/>
  <c r="D34" i="1"/>
  <c r="D50" i="1" s="1"/>
  <c r="C50" i="1"/>
  <c r="E45" i="1"/>
  <c r="E95" i="1" s="1"/>
  <c r="C58" i="1" l="1"/>
  <c r="C62" i="1" s="1"/>
  <c r="J18" i="2"/>
  <c r="E49" i="1" s="1"/>
  <c r="J17" i="2"/>
  <c r="D49" i="1" s="1"/>
  <c r="D97" i="1" s="1"/>
  <c r="C86" i="1"/>
  <c r="C88" i="1" s="1"/>
  <c r="C106" i="1" s="1"/>
  <c r="E84" i="1"/>
  <c r="E33" i="1"/>
  <c r="E34" i="1" s="1"/>
  <c r="E50" i="1" s="1"/>
  <c r="E58" i="1" s="1"/>
  <c r="E46" i="1"/>
  <c r="D85" i="1"/>
  <c r="D58" i="1"/>
  <c r="D62" i="1" s="1"/>
  <c r="D35" i="1"/>
  <c r="F29" i="1"/>
  <c r="F31" i="1" s="1"/>
  <c r="F45" i="1"/>
  <c r="E62" i="1" l="1"/>
  <c r="E97" i="1"/>
  <c r="F49" i="1"/>
  <c r="F46" i="1"/>
  <c r="F101" i="1"/>
  <c r="D86" i="1"/>
  <c r="D88" i="1" s="1"/>
  <c r="D98" i="1"/>
  <c r="C107" i="1"/>
  <c r="F84" i="1"/>
  <c r="F33" i="1"/>
  <c r="F95" i="1"/>
  <c r="E85" i="1"/>
  <c r="E98" i="1" s="1"/>
  <c r="E86" i="1"/>
  <c r="E88" i="1" s="1"/>
  <c r="E106" i="1" s="1"/>
  <c r="E107" i="1" s="1"/>
  <c r="E35" i="1"/>
  <c r="F103" i="1" l="1"/>
  <c r="F97" i="1"/>
  <c r="D106" i="1"/>
  <c r="D107" i="1" s="1"/>
  <c r="F85" i="1"/>
  <c r="F34" i="1"/>
  <c r="F50" i="1" s="1"/>
  <c r="F86" i="1" l="1"/>
  <c r="F98" i="1"/>
  <c r="F58" i="1"/>
  <c r="F62" i="1" s="1"/>
  <c r="F35" i="1"/>
  <c r="F88" i="1" l="1"/>
  <c r="F106" i="1" s="1"/>
  <c r="F104" i="1"/>
  <c r="F107" i="1" l="1"/>
  <c r="B111" i="1" s="1"/>
  <c r="B112" i="1"/>
</calcChain>
</file>

<file path=xl/sharedStrings.xml><?xml version="1.0" encoding="utf-8"?>
<sst xmlns="http://schemas.openxmlformats.org/spreadsheetml/2006/main" count="97" uniqueCount="92">
  <si>
    <t>Income Statement</t>
  </si>
  <si>
    <t>Expenses</t>
  </si>
  <si>
    <t>Chef's Salaries</t>
  </si>
  <si>
    <t>Sales Revenue (monthly subscriptions)</t>
  </si>
  <si>
    <t>Income before taxes</t>
  </si>
  <si>
    <t>Taxes</t>
  </si>
  <si>
    <t>Net Income</t>
  </si>
  <si>
    <t>Balance Sheet</t>
  </si>
  <si>
    <t>Assets</t>
  </si>
  <si>
    <t>Liabilities</t>
  </si>
  <si>
    <t>SHE</t>
  </si>
  <si>
    <t>1st year subscription</t>
  </si>
  <si>
    <t>65 % Discount</t>
  </si>
  <si>
    <t xml:space="preserve">2nd Year </t>
  </si>
  <si>
    <t>Lifetime subscription</t>
  </si>
  <si>
    <t>Panna apron</t>
  </si>
  <si>
    <t>Signed Cookbook</t>
  </si>
  <si>
    <t>Signed Apron</t>
  </si>
  <si>
    <t>Annual Subscription</t>
  </si>
  <si>
    <t>Total</t>
  </si>
  <si>
    <t>Promises to pledgers</t>
  </si>
  <si>
    <t>Accounts Receivable</t>
  </si>
  <si>
    <t>Income Tax Payable</t>
  </si>
  <si>
    <t>Owner's Equity</t>
  </si>
  <si>
    <t>Revenues to Apple</t>
  </si>
  <si>
    <t>Initial Funding</t>
  </si>
  <si>
    <t>Equipment ( computers, etc.)</t>
  </si>
  <si>
    <t>Filming &amp; Production</t>
  </si>
  <si>
    <t>Total Expenses</t>
  </si>
  <si>
    <t>Acc/ Depr.</t>
  </si>
  <si>
    <t>Net Equipment</t>
  </si>
  <si>
    <t>Revenue</t>
  </si>
  <si>
    <t>Year 2 Liability</t>
  </si>
  <si>
    <t>Yeaer 3 Liability</t>
  </si>
  <si>
    <t>Total Assets</t>
  </si>
  <si>
    <t>Cash</t>
  </si>
  <si>
    <t>Total Liabilities and SHE</t>
  </si>
  <si>
    <t># of people in the US</t>
  </si>
  <si>
    <t>% of People that own Apple products</t>
  </si>
  <si>
    <t>% of Apple owners that buy apps</t>
  </si>
  <si>
    <t>Monthly price</t>
  </si>
  <si>
    <t>% of buyers that will buy this app</t>
  </si>
  <si>
    <t>% of Revenues that goes to Apple</t>
  </si>
  <si>
    <t>Chef's salaries per video</t>
  </si>
  <si>
    <t>Hours per video</t>
  </si>
  <si>
    <t>Videos per month</t>
  </si>
  <si>
    <t>Camera men wages per hour</t>
  </si>
  <si>
    <t>Tax Rate</t>
  </si>
  <si>
    <t xml:space="preserve">Loan </t>
  </si>
  <si>
    <t>150-200</t>
  </si>
  <si>
    <t>Proportion Debt</t>
  </si>
  <si>
    <t>Debt Proportions</t>
  </si>
  <si>
    <t>Proportion Equity</t>
  </si>
  <si>
    <t>Mortgage</t>
  </si>
  <si>
    <t>Bank Loans</t>
  </si>
  <si>
    <t>Blended Rate</t>
  </si>
  <si>
    <t>Cost of Debt</t>
  </si>
  <si>
    <t>Beta</t>
  </si>
  <si>
    <t>S&amp;P 500</t>
  </si>
  <si>
    <t>T-Bill</t>
  </si>
  <si>
    <t>CAPM</t>
  </si>
  <si>
    <t>Cost Of Equity</t>
  </si>
  <si>
    <t>WACC</t>
  </si>
  <si>
    <t>Interest Rate on Loan</t>
  </si>
  <si>
    <t>Assumptions</t>
  </si>
  <si>
    <t>unlevered beta</t>
  </si>
  <si>
    <t>relevered</t>
  </si>
  <si>
    <t>Depreciation Expense</t>
  </si>
  <si>
    <t>Interest Expense</t>
  </si>
  <si>
    <t>Operating Profit</t>
  </si>
  <si>
    <t>FCFs, NPV, IRR</t>
  </si>
  <si>
    <t>Cash from operations:</t>
  </si>
  <si>
    <t>%</t>
  </si>
  <si>
    <t xml:space="preserve">   Taxes</t>
  </si>
  <si>
    <t>Income after taxes</t>
  </si>
  <si>
    <t>Add back depreciation</t>
  </si>
  <si>
    <t>Total Cash from operations</t>
  </si>
  <si>
    <t>Capital Expenditures</t>
  </si>
  <si>
    <t>Purchase equipment</t>
  </si>
  <si>
    <t>Sell Equipment</t>
  </si>
  <si>
    <t>Book Value</t>
  </si>
  <si>
    <t>Cash from changes in working Captial</t>
  </si>
  <si>
    <t xml:space="preserve">  Accounts Receivable</t>
  </si>
  <si>
    <t>Accounts Payable</t>
  </si>
  <si>
    <t>Income taxes payable</t>
  </si>
  <si>
    <t xml:space="preserve">  Operating Profit (depreciation already taken out)</t>
  </si>
  <si>
    <t>Liquitaion of Working Capital</t>
  </si>
  <si>
    <t xml:space="preserve">Total </t>
  </si>
  <si>
    <t>pv of totals</t>
  </si>
  <si>
    <t>Year</t>
  </si>
  <si>
    <t>NPV</t>
  </si>
  <si>
    <t>IRR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</si>
</sst>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u val="singleAccounting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0" fillId="0" borderId="0" xfId="0" applyAlignment="1"/>
    <xf numFmtId="164" fontId="0" fillId="2" borderId="0" xfId="1" applyNumberFormat="1" applyFont="1" applyFill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0" xfId="1" applyNumberFormat="1" applyFont="1"/>
    <xf numFmtId="164" fontId="0" fillId="0" borderId="0" xfId="1" applyNumberFormat="1" applyFont="1" applyAlignment="1">
      <alignment horizontal="left"/>
    </xf>
    <xf numFmtId="0" fontId="1" fillId="0" borderId="1" xfId="1" applyNumberFormat="1" applyFont="1" applyBorder="1"/>
    <xf numFmtId="164" fontId="1" fillId="0" borderId="0" xfId="1" applyNumberFormat="1" applyFont="1"/>
    <xf numFmtId="9" fontId="0" fillId="0" borderId="0" xfId="3" applyFont="1"/>
    <xf numFmtId="10" fontId="0" fillId="0" borderId="0" xfId="3" applyNumberFormat="1" applyFont="1"/>
    <xf numFmtId="44" fontId="0" fillId="0" borderId="0" xfId="2" applyFont="1"/>
    <xf numFmtId="0" fontId="0" fillId="0" borderId="1" xfId="1" applyNumberFormat="1" applyFont="1" applyBorder="1"/>
    <xf numFmtId="43" fontId="0" fillId="0" borderId="0" xfId="1" applyNumberFormat="1" applyFont="1"/>
    <xf numFmtId="0" fontId="0" fillId="0" borderId="0" xfId="0" applyFill="1" applyAlignment="1">
      <alignment horizontal="center"/>
    </xf>
    <xf numFmtId="0" fontId="3" fillId="0" borderId="0" xfId="4"/>
    <xf numFmtId="9" fontId="1" fillId="0" borderId="0" xfId="3"/>
    <xf numFmtId="10" fontId="3" fillId="0" borderId="0" xfId="4" applyNumberFormat="1"/>
    <xf numFmtId="0" fontId="4" fillId="0" borderId="0" xfId="4" applyFont="1"/>
    <xf numFmtId="10" fontId="1" fillId="0" borderId="0" xfId="3" applyNumberFormat="1"/>
    <xf numFmtId="165" fontId="4" fillId="0" borderId="0" xfId="4" applyNumberFormat="1" applyFont="1"/>
    <xf numFmtId="0" fontId="4" fillId="2" borderId="0" xfId="4" applyFont="1" applyFill="1"/>
    <xf numFmtId="10" fontId="4" fillId="2" borderId="0" xfId="4" applyNumberFormat="1" applyFont="1" applyFill="1"/>
    <xf numFmtId="164" fontId="5" fillId="0" borderId="0" xfId="1" applyNumberFormat="1" applyFont="1"/>
    <xf numFmtId="0" fontId="3" fillId="0" borderId="0" xfId="4" applyFill="1"/>
    <xf numFmtId="2" fontId="1" fillId="0" borderId="0" xfId="3" applyNumberFormat="1" applyFill="1"/>
    <xf numFmtId="10" fontId="1" fillId="0" borderId="0" xfId="3" applyNumberFormat="1" applyFill="1"/>
    <xf numFmtId="0" fontId="4" fillId="0" borderId="0" xfId="4" applyFont="1" applyFill="1"/>
    <xf numFmtId="165" fontId="4" fillId="0" borderId="0" xfId="4" applyNumberFormat="1" applyFont="1" applyFill="1"/>
    <xf numFmtId="10" fontId="4" fillId="0" borderId="0" xfId="4" applyNumberFormat="1" applyFont="1" applyFill="1"/>
    <xf numFmtId="2" fontId="3" fillId="0" borderId="0" xfId="4" applyNumberFormat="1"/>
    <xf numFmtId="10" fontId="0" fillId="0" borderId="0" xfId="3" applyNumberFormat="1" applyFont="1" applyFill="1"/>
    <xf numFmtId="164" fontId="1" fillId="0" borderId="0" xfId="3" applyNumberFormat="1" applyFill="1"/>
    <xf numFmtId="164" fontId="3" fillId="0" borderId="0" xfId="4" applyNumberFormat="1" applyFill="1"/>
    <xf numFmtId="43" fontId="3" fillId="0" borderId="0" xfId="4" applyNumberFormat="1" applyFill="1"/>
    <xf numFmtId="43" fontId="3" fillId="0" borderId="0" xfId="4" applyNumberFormat="1"/>
    <xf numFmtId="2" fontId="1" fillId="0" borderId="0" xfId="3" applyNumberFormat="1"/>
    <xf numFmtId="0" fontId="0" fillId="0" borderId="0" xfId="1" applyNumberFormat="1" applyFo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</cellXfs>
  <cellStyles count="5">
    <cellStyle name="Comma" xfId="1" builtinId="3"/>
    <cellStyle name="Currency" xfId="2" builtinId="4"/>
    <cellStyle name="Excel Built-in Normal" xf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workbookViewId="0">
      <selection activeCell="C111" sqref="C111"/>
    </sheetView>
  </sheetViews>
  <sheetFormatPr defaultRowHeight="15" x14ac:dyDescent="0.25"/>
  <cols>
    <col min="1" max="1" width="36.140625" style="4" bestFit="1" customWidth="1"/>
    <col min="2" max="2" width="12.5703125" style="4" bestFit="1" customWidth="1"/>
    <col min="3" max="3" width="13.28515625" style="4" bestFit="1" customWidth="1"/>
    <col min="4" max="5" width="12.5703125" style="4" bestFit="1" customWidth="1"/>
    <col min="6" max="6" width="17.140625" style="4" customWidth="1"/>
    <col min="7" max="16384" width="9.140625" style="4"/>
  </cols>
  <sheetData>
    <row r="1" spans="1:6" x14ac:dyDescent="0.25">
      <c r="A1" s="3" t="s">
        <v>64</v>
      </c>
      <c r="B1" s="12">
        <v>2011</v>
      </c>
      <c r="C1" s="12">
        <v>2012</v>
      </c>
      <c r="D1" s="12">
        <v>2013</v>
      </c>
      <c r="E1" s="12">
        <v>2014</v>
      </c>
      <c r="F1" s="12">
        <v>2015</v>
      </c>
    </row>
    <row r="2" spans="1:6" x14ac:dyDescent="0.25">
      <c r="A2" s="4" t="s">
        <v>37</v>
      </c>
      <c r="B2" s="4">
        <v>311591917</v>
      </c>
      <c r="C2" s="4">
        <f>B2+3300000</f>
        <v>314891917</v>
      </c>
      <c r="D2" s="4">
        <f>C2+3300000</f>
        <v>318191917</v>
      </c>
      <c r="E2" s="4">
        <f>D2+3300000</f>
        <v>321491917</v>
      </c>
      <c r="F2" s="4">
        <f>E2+3300000</f>
        <v>324791917</v>
      </c>
    </row>
    <row r="3" spans="1:6" x14ac:dyDescent="0.25">
      <c r="A3" s="4" t="s">
        <v>38</v>
      </c>
      <c r="B3" s="9"/>
      <c r="C3" s="9">
        <v>0.5</v>
      </c>
      <c r="D3" s="9">
        <v>0.5</v>
      </c>
      <c r="E3" s="9">
        <v>0.5</v>
      </c>
      <c r="F3" s="9">
        <v>0.5</v>
      </c>
    </row>
    <row r="4" spans="1:6" x14ac:dyDescent="0.25">
      <c r="A4" s="4" t="s">
        <v>39</v>
      </c>
      <c r="B4" s="9"/>
      <c r="C4" s="9">
        <v>0.25</v>
      </c>
      <c r="D4" s="9">
        <v>0.25</v>
      </c>
      <c r="E4" s="9">
        <v>0.25</v>
      </c>
      <c r="F4" s="9">
        <v>0.25</v>
      </c>
    </row>
    <row r="5" spans="1:6" x14ac:dyDescent="0.25">
      <c r="A5" s="4" t="s">
        <v>41</v>
      </c>
      <c r="B5" s="10"/>
      <c r="C5" s="10">
        <f t="shared" ref="C5" si="0">1/1000</f>
        <v>1E-3</v>
      </c>
      <c r="D5" s="10">
        <f>2/1000</f>
        <v>2E-3</v>
      </c>
      <c r="E5" s="10">
        <f>3/1000</f>
        <v>3.0000000000000001E-3</v>
      </c>
      <c r="F5" s="10">
        <f>4/1000</f>
        <v>4.0000000000000001E-3</v>
      </c>
    </row>
    <row r="6" spans="1:6" x14ac:dyDescent="0.25">
      <c r="A6" s="4" t="s">
        <v>40</v>
      </c>
      <c r="B6" s="11"/>
      <c r="C6" s="11">
        <f>0.99</f>
        <v>0.99</v>
      </c>
      <c r="D6" s="11">
        <f t="shared" ref="D6:F6" si="1">C6</f>
        <v>0.99</v>
      </c>
      <c r="E6" s="11">
        <f t="shared" si="1"/>
        <v>0.99</v>
      </c>
      <c r="F6" s="11">
        <f t="shared" si="1"/>
        <v>0.99</v>
      </c>
    </row>
    <row r="8" spans="1:6" x14ac:dyDescent="0.25">
      <c r="A8" s="4" t="s">
        <v>42</v>
      </c>
      <c r="B8" s="9"/>
      <c r="C8" s="9">
        <f>0.3</f>
        <v>0.3</v>
      </c>
      <c r="D8" s="9">
        <f t="shared" ref="D8:F8" si="2">C8</f>
        <v>0.3</v>
      </c>
      <c r="E8" s="9">
        <f t="shared" si="2"/>
        <v>0.3</v>
      </c>
      <c r="F8" s="9">
        <f t="shared" si="2"/>
        <v>0.3</v>
      </c>
    </row>
    <row r="9" spans="1:6" x14ac:dyDescent="0.25">
      <c r="A9" s="4" t="s">
        <v>43</v>
      </c>
      <c r="B9" s="11"/>
      <c r="C9" s="11">
        <v>250</v>
      </c>
      <c r="D9" s="11">
        <f>C9*1.1</f>
        <v>275</v>
      </c>
      <c r="E9" s="11">
        <f t="shared" ref="E9:F9" si="3">D9*1.1</f>
        <v>302.5</v>
      </c>
      <c r="F9" s="11">
        <f t="shared" si="3"/>
        <v>332.75</v>
      </c>
    </row>
    <row r="10" spans="1:6" x14ac:dyDescent="0.25">
      <c r="A10" s="4" t="s">
        <v>44</v>
      </c>
      <c r="C10" s="4">
        <v>3</v>
      </c>
      <c r="D10" s="4">
        <v>3</v>
      </c>
      <c r="E10" s="4">
        <v>3</v>
      </c>
      <c r="F10" s="4">
        <v>3</v>
      </c>
    </row>
    <row r="11" spans="1:6" x14ac:dyDescent="0.25">
      <c r="A11" s="4" t="s">
        <v>45</v>
      </c>
      <c r="C11" s="4">
        <v>15</v>
      </c>
      <c r="D11" s="4">
        <v>15</v>
      </c>
      <c r="E11" s="4">
        <v>15</v>
      </c>
      <c r="F11" s="4">
        <v>15</v>
      </c>
    </row>
    <row r="12" spans="1:6" x14ac:dyDescent="0.25">
      <c r="A12" s="4" t="s">
        <v>46</v>
      </c>
      <c r="B12" s="11"/>
      <c r="C12" s="11">
        <f>20</f>
        <v>20</v>
      </c>
      <c r="D12" s="11">
        <f t="shared" ref="D12:F12" si="4">C12*1.05</f>
        <v>21</v>
      </c>
      <c r="E12" s="11">
        <f t="shared" si="4"/>
        <v>22.05</v>
      </c>
      <c r="F12" s="11">
        <f t="shared" si="4"/>
        <v>23.152500000000003</v>
      </c>
    </row>
    <row r="14" spans="1:6" x14ac:dyDescent="0.25">
      <c r="A14" s="4" t="s">
        <v>47</v>
      </c>
      <c r="B14" s="9"/>
      <c r="C14" s="9">
        <v>0.39</v>
      </c>
      <c r="D14" s="9">
        <v>0.39</v>
      </c>
      <c r="E14" s="9">
        <v>0.39</v>
      </c>
      <c r="F14" s="9">
        <v>0.39</v>
      </c>
    </row>
    <row r="16" spans="1:6" x14ac:dyDescent="0.25">
      <c r="A16" s="4" t="s">
        <v>63</v>
      </c>
      <c r="B16" s="9">
        <v>0.1</v>
      </c>
      <c r="D16" s="9"/>
      <c r="E16" s="9"/>
      <c r="F16" s="9"/>
    </row>
    <row r="19" spans="1:6" x14ac:dyDescent="0.25">
      <c r="A19" s="3" t="s">
        <v>0</v>
      </c>
      <c r="C19" s="7">
        <v>2012</v>
      </c>
      <c r="D19" s="7">
        <v>2013</v>
      </c>
      <c r="E19" s="7">
        <v>2014</v>
      </c>
      <c r="F19" s="7">
        <v>2015</v>
      </c>
    </row>
    <row r="20" spans="1:6" x14ac:dyDescent="0.25">
      <c r="A20" s="5" t="s">
        <v>31</v>
      </c>
    </row>
    <row r="21" spans="1:6" x14ac:dyDescent="0.25">
      <c r="A21" s="4" t="s">
        <v>3</v>
      </c>
      <c r="C21" s="4">
        <f>C2*C3*C4*C5*C6*12</f>
        <v>467614.49674500001</v>
      </c>
      <c r="D21" s="4">
        <f>D2*D3*D4*D5*D6*12</f>
        <v>945029.99349000002</v>
      </c>
      <c r="E21" s="4">
        <f t="shared" ref="E21:F21" si="5">E2*E3*E4*E5*E6*12</f>
        <v>1432246.4902349999</v>
      </c>
      <c r="F21" s="4">
        <f t="shared" si="5"/>
        <v>1929263.98698</v>
      </c>
    </row>
    <row r="24" spans="1:6" x14ac:dyDescent="0.25">
      <c r="A24" s="5" t="s">
        <v>1</v>
      </c>
    </row>
    <row r="25" spans="1:6" x14ac:dyDescent="0.25">
      <c r="A25" s="4" t="s">
        <v>24</v>
      </c>
      <c r="C25" s="4">
        <f>C21*C8</f>
        <v>140284.34902349999</v>
      </c>
      <c r="D25" s="4">
        <f t="shared" ref="D25:F25" si="6">D21*D8</f>
        <v>283508.99804699997</v>
      </c>
      <c r="E25" s="4">
        <f t="shared" si="6"/>
        <v>429673.94707049994</v>
      </c>
      <c r="F25" s="4">
        <f t="shared" si="6"/>
        <v>578779.19609400001</v>
      </c>
    </row>
    <row r="26" spans="1:6" x14ac:dyDescent="0.25">
      <c r="A26" s="4" t="s">
        <v>67</v>
      </c>
      <c r="C26" s="4">
        <v>4000</v>
      </c>
      <c r="D26" s="4">
        <v>4000</v>
      </c>
      <c r="E26" s="4">
        <v>4000</v>
      </c>
      <c r="F26" s="4">
        <v>4000</v>
      </c>
    </row>
    <row r="27" spans="1:6" x14ac:dyDescent="0.25">
      <c r="A27" s="4" t="s">
        <v>27</v>
      </c>
      <c r="C27" s="4">
        <f>C10*C11*C12*12</f>
        <v>10800</v>
      </c>
      <c r="D27" s="4">
        <f t="shared" ref="D27:F27" si="7">D10*D11*D12*12</f>
        <v>11340</v>
      </c>
      <c r="E27" s="4">
        <f t="shared" si="7"/>
        <v>11907</v>
      </c>
      <c r="F27" s="4">
        <f t="shared" si="7"/>
        <v>12502.350000000002</v>
      </c>
    </row>
    <row r="28" spans="1:6" x14ac:dyDescent="0.25">
      <c r="A28" s="4" t="s">
        <v>2</v>
      </c>
      <c r="C28" s="4">
        <f>C9*C11*12</f>
        <v>45000</v>
      </c>
      <c r="D28" s="4">
        <f t="shared" ref="D28:F28" si="8">D9*D11*12</f>
        <v>49500</v>
      </c>
      <c r="E28" s="4">
        <f t="shared" si="8"/>
        <v>54450</v>
      </c>
      <c r="F28" s="4">
        <f t="shared" si="8"/>
        <v>59895</v>
      </c>
    </row>
    <row r="29" spans="1:6" x14ac:dyDescent="0.25">
      <c r="A29" s="4" t="s">
        <v>28</v>
      </c>
      <c r="C29" s="4">
        <f>SUM(C25:C28)</f>
        <v>200084.34902349999</v>
      </c>
      <c r="D29" s="4">
        <f>SUM(D25:D28)</f>
        <v>348348.99804699997</v>
      </c>
      <c r="E29" s="4">
        <f>SUM(E25:E28)</f>
        <v>500030.94707049994</v>
      </c>
      <c r="F29" s="4">
        <f>SUM(F25:F28)</f>
        <v>655176.54609399999</v>
      </c>
    </row>
    <row r="31" spans="1:6" x14ac:dyDescent="0.25">
      <c r="A31" s="4" t="s">
        <v>69</v>
      </c>
      <c r="C31" s="4">
        <f>C21-C29</f>
        <v>267530.14772150002</v>
      </c>
      <c r="D31" s="4">
        <f t="shared" ref="D31:F31" si="9">D21-D29</f>
        <v>596680.99544299999</v>
      </c>
      <c r="E31" s="4">
        <f t="shared" si="9"/>
        <v>932215.54316450004</v>
      </c>
      <c r="F31" s="4">
        <f t="shared" si="9"/>
        <v>1274087.4408860002</v>
      </c>
    </row>
    <row r="32" spans="1:6" x14ac:dyDescent="0.25">
      <c r="A32" s="4" t="s">
        <v>68</v>
      </c>
      <c r="C32" s="4">
        <f>$C$52*$B$16</f>
        <v>2000</v>
      </c>
      <c r="D32" s="4">
        <f t="shared" ref="D32:F32" si="10">$C$52*$B$16</f>
        <v>2000</v>
      </c>
      <c r="E32" s="4">
        <f t="shared" si="10"/>
        <v>2000</v>
      </c>
      <c r="F32" s="4">
        <f t="shared" si="10"/>
        <v>2000</v>
      </c>
    </row>
    <row r="33" spans="1:6" x14ac:dyDescent="0.25">
      <c r="A33" s="4" t="s">
        <v>4</v>
      </c>
      <c r="C33" s="4">
        <f>C31-C32</f>
        <v>265530.14772150002</v>
      </c>
      <c r="D33" s="4">
        <f t="shared" ref="D33:F33" si="11">D31-D32</f>
        <v>594680.99544299999</v>
      </c>
      <c r="E33" s="4">
        <f t="shared" si="11"/>
        <v>930215.54316450004</v>
      </c>
      <c r="F33" s="4">
        <f t="shared" si="11"/>
        <v>1272087.4408860002</v>
      </c>
    </row>
    <row r="34" spans="1:6" x14ac:dyDescent="0.25">
      <c r="A34" s="4" t="s">
        <v>5</v>
      </c>
      <c r="C34" s="4">
        <f>C33*C14</f>
        <v>103556.75761138501</v>
      </c>
      <c r="D34" s="4">
        <f>D33*D14</f>
        <v>231925.58822276999</v>
      </c>
      <c r="E34" s="4">
        <f>E33*E14</f>
        <v>362784.061834155</v>
      </c>
      <c r="F34" s="4">
        <f>F33*F14</f>
        <v>496114.10194554011</v>
      </c>
    </row>
    <row r="35" spans="1:6" x14ac:dyDescent="0.25">
      <c r="A35" s="4" t="s">
        <v>6</v>
      </c>
      <c r="C35" s="4">
        <f>C33-C34</f>
        <v>161973.390110115</v>
      </c>
      <c r="D35" s="4">
        <f>D33-D34</f>
        <v>362755.40722022997</v>
      </c>
      <c r="E35" s="4">
        <f>E33-E34</f>
        <v>567431.48133034504</v>
      </c>
      <c r="F35" s="4">
        <f>F33-F34</f>
        <v>775973.33894046</v>
      </c>
    </row>
    <row r="39" spans="1:6" x14ac:dyDescent="0.25">
      <c r="A39" s="3" t="s">
        <v>7</v>
      </c>
    </row>
    <row r="40" spans="1:6" x14ac:dyDescent="0.25">
      <c r="A40" s="5" t="s">
        <v>8</v>
      </c>
    </row>
    <row r="41" spans="1:6" x14ac:dyDescent="0.25">
      <c r="A41" s="8" t="s">
        <v>35</v>
      </c>
      <c r="C41" s="4">
        <v>394093</v>
      </c>
      <c r="D41" s="4">
        <v>361790</v>
      </c>
      <c r="E41" s="4">
        <v>366224</v>
      </c>
      <c r="F41" s="4">
        <v>369217</v>
      </c>
    </row>
    <row r="42" spans="1:6" x14ac:dyDescent="0.25">
      <c r="A42" s="4" t="s">
        <v>26</v>
      </c>
      <c r="C42" s="4">
        <v>20000</v>
      </c>
      <c r="D42" s="4">
        <v>20000</v>
      </c>
      <c r="E42" s="4">
        <v>20000</v>
      </c>
      <c r="F42" s="4">
        <v>20000</v>
      </c>
    </row>
    <row r="43" spans="1:6" x14ac:dyDescent="0.25">
      <c r="A43" s="4" t="s">
        <v>29</v>
      </c>
      <c r="C43" s="4">
        <f>C42/5</f>
        <v>4000</v>
      </c>
      <c r="D43" s="4">
        <v>8000</v>
      </c>
      <c r="E43" s="4">
        <v>12000</v>
      </c>
      <c r="F43" s="4">
        <v>16000</v>
      </c>
    </row>
    <row r="44" spans="1:6" x14ac:dyDescent="0.25">
      <c r="A44" s="4" t="s">
        <v>30</v>
      </c>
      <c r="C44" s="4">
        <f>C42-C43</f>
        <v>16000</v>
      </c>
      <c r="D44" s="4">
        <f t="shared" ref="D44:F44" si="12">D42-D43</f>
        <v>12000</v>
      </c>
      <c r="E44" s="4">
        <f t="shared" si="12"/>
        <v>8000</v>
      </c>
      <c r="F44" s="4">
        <f t="shared" si="12"/>
        <v>4000</v>
      </c>
    </row>
    <row r="45" spans="1:6" x14ac:dyDescent="0.25">
      <c r="A45" s="4" t="s">
        <v>21</v>
      </c>
      <c r="C45" s="13">
        <f>C21/360*2</f>
        <v>2597.85831525</v>
      </c>
      <c r="D45" s="4">
        <f>D21/360*2</f>
        <v>5250.1666304999999</v>
      </c>
      <c r="E45" s="4">
        <f>E21/360*2</f>
        <v>7956.9249457499991</v>
      </c>
      <c r="F45" s="4">
        <f>F21/360*2</f>
        <v>10718.133261000001</v>
      </c>
    </row>
    <row r="46" spans="1:6" x14ac:dyDescent="0.25">
      <c r="A46" s="4" t="s">
        <v>34</v>
      </c>
      <c r="C46" s="4">
        <f>C41+C44+C45</f>
        <v>412690.85831525002</v>
      </c>
      <c r="D46" s="4">
        <f t="shared" ref="D46:F46" si="13">D41+D44+D45</f>
        <v>379040.1666305</v>
      </c>
      <c r="E46" s="4">
        <f t="shared" si="13"/>
        <v>382180.92494574998</v>
      </c>
      <c r="F46" s="4">
        <f t="shared" si="13"/>
        <v>383935.13326099998</v>
      </c>
    </row>
    <row r="48" spans="1:6" x14ac:dyDescent="0.25">
      <c r="A48" s="5" t="s">
        <v>9</v>
      </c>
    </row>
    <row r="49" spans="1:6" x14ac:dyDescent="0.25">
      <c r="A49" s="6" t="s">
        <v>20</v>
      </c>
      <c r="C49" s="4">
        <f>Sheet2!J15</f>
        <v>217994.38</v>
      </c>
      <c r="D49" s="4">
        <f>Sheet2!J17</f>
        <v>214903.26</v>
      </c>
      <c r="E49" s="4">
        <f>Sheet2!J18</f>
        <v>214297.38</v>
      </c>
      <c r="F49" s="4">
        <f>E49</f>
        <v>214297.38</v>
      </c>
    </row>
    <row r="50" spans="1:6" x14ac:dyDescent="0.25">
      <c r="A50" s="4" t="s">
        <v>22</v>
      </c>
      <c r="C50" s="4">
        <f>C34</f>
        <v>103556.75761138501</v>
      </c>
      <c r="D50" s="4">
        <f t="shared" ref="D50:F50" si="14">D34</f>
        <v>231925.58822276999</v>
      </c>
      <c r="E50" s="4">
        <f t="shared" si="14"/>
        <v>362784.061834155</v>
      </c>
      <c r="F50" s="4">
        <f t="shared" si="14"/>
        <v>496114.10194554011</v>
      </c>
    </row>
    <row r="52" spans="1:6" x14ac:dyDescent="0.25">
      <c r="A52" s="4" t="s">
        <v>48</v>
      </c>
      <c r="C52" s="4">
        <f>C42</f>
        <v>20000</v>
      </c>
      <c r="D52" s="4">
        <f t="shared" ref="D52:F52" si="15">D42</f>
        <v>20000</v>
      </c>
      <c r="E52" s="4">
        <f t="shared" si="15"/>
        <v>20000</v>
      </c>
      <c r="F52" s="4">
        <f t="shared" si="15"/>
        <v>20000</v>
      </c>
    </row>
    <row r="53" spans="1:6" x14ac:dyDescent="0.25">
      <c r="A53"/>
    </row>
    <row r="55" spans="1:6" customFormat="1" x14ac:dyDescent="0.25">
      <c r="A55" s="5" t="s">
        <v>10</v>
      </c>
    </row>
    <row r="56" spans="1:6" x14ac:dyDescent="0.25">
      <c r="A56" s="4" t="s">
        <v>25</v>
      </c>
      <c r="C56" s="4">
        <v>34400</v>
      </c>
      <c r="D56" s="4">
        <v>0</v>
      </c>
      <c r="E56" s="4">
        <v>0</v>
      </c>
      <c r="F56" s="4">
        <v>0</v>
      </c>
    </row>
    <row r="57" spans="1:6" x14ac:dyDescent="0.25">
      <c r="A57" s="4" t="s">
        <v>23</v>
      </c>
      <c r="C57" s="4">
        <f>C56</f>
        <v>34400</v>
      </c>
      <c r="D57" s="4">
        <f>C57</f>
        <v>34400</v>
      </c>
      <c r="E57" s="4">
        <f t="shared" ref="E57:F57" si="16">D57</f>
        <v>34400</v>
      </c>
      <c r="F57" s="4">
        <f t="shared" si="16"/>
        <v>34400</v>
      </c>
    </row>
    <row r="58" spans="1:6" x14ac:dyDescent="0.25">
      <c r="A58" s="4" t="s">
        <v>36</v>
      </c>
      <c r="C58" s="4">
        <f>C49+C50+C52+C56+C57</f>
        <v>410351.13761138503</v>
      </c>
      <c r="D58" s="4">
        <f t="shared" ref="D58:F58" si="17">D49+D50+D52+D56+D57</f>
        <v>501228.84822277003</v>
      </c>
      <c r="E58" s="4">
        <f t="shared" si="17"/>
        <v>631481.441834155</v>
      </c>
      <c r="F58" s="4">
        <f t="shared" si="17"/>
        <v>764811.48194554006</v>
      </c>
    </row>
    <row r="62" spans="1:6" x14ac:dyDescent="0.25">
      <c r="C62" s="4">
        <f>C58-C46</f>
        <v>-2339.720703864994</v>
      </c>
      <c r="D62" s="4">
        <f>D58-D46</f>
        <v>122188.68159227003</v>
      </c>
      <c r="E62" s="4">
        <f>E58-E46</f>
        <v>249300.51688840502</v>
      </c>
      <c r="F62" s="4">
        <f>F58-F46</f>
        <v>380876.34868454008</v>
      </c>
    </row>
    <row r="65" spans="1:6" ht="17.25" x14ac:dyDescent="0.4">
      <c r="A65" s="23" t="s">
        <v>62</v>
      </c>
    </row>
    <row r="66" spans="1:6" x14ac:dyDescent="0.25">
      <c r="A66" s="15" t="s">
        <v>50</v>
      </c>
      <c r="B66" s="16">
        <f>F52/(F52+F57)</f>
        <v>0.36764705882352944</v>
      </c>
      <c r="C66" s="15"/>
      <c r="D66" s="15"/>
      <c r="E66" s="15" t="s">
        <v>51</v>
      </c>
      <c r="F66" s="15"/>
    </row>
    <row r="67" spans="1:6" x14ac:dyDescent="0.25">
      <c r="A67" s="15" t="s">
        <v>52</v>
      </c>
      <c r="B67" s="16">
        <f>F57/(F57+F52)</f>
        <v>0.63235294117647056</v>
      </c>
      <c r="C67" s="15"/>
      <c r="D67" s="15"/>
      <c r="E67" s="15" t="s">
        <v>53</v>
      </c>
      <c r="F67" s="16">
        <v>0</v>
      </c>
    </row>
    <row r="68" spans="1:6" x14ac:dyDescent="0.25">
      <c r="A68" s="15"/>
      <c r="B68" s="15"/>
      <c r="C68" s="15"/>
      <c r="D68" s="15"/>
      <c r="E68" s="15" t="s">
        <v>54</v>
      </c>
      <c r="F68" s="16">
        <f>F52/F52</f>
        <v>1</v>
      </c>
    </row>
    <row r="69" spans="1:6" x14ac:dyDescent="0.25">
      <c r="A69" s="15"/>
      <c r="B69" s="15"/>
      <c r="C69" s="15"/>
      <c r="D69" s="15"/>
      <c r="E69" s="15"/>
      <c r="F69" s="15"/>
    </row>
    <row r="70" spans="1:6" x14ac:dyDescent="0.25">
      <c r="A70" s="15"/>
      <c r="B70" s="15"/>
      <c r="C70" s="15"/>
      <c r="D70" s="15"/>
      <c r="E70" s="15" t="s">
        <v>55</v>
      </c>
      <c r="F70" s="17">
        <f>F68*B16</f>
        <v>0.1</v>
      </c>
    </row>
    <row r="71" spans="1:6" x14ac:dyDescent="0.25">
      <c r="A71" s="15"/>
      <c r="B71" s="15"/>
      <c r="C71" s="15"/>
      <c r="D71" s="15"/>
      <c r="E71" s="18" t="s">
        <v>56</v>
      </c>
      <c r="F71" s="20">
        <f>F68*F70</f>
        <v>0.1</v>
      </c>
    </row>
    <row r="72" spans="1:6" x14ac:dyDescent="0.25">
      <c r="A72" s="15"/>
      <c r="B72" s="15"/>
      <c r="C72" s="15"/>
      <c r="D72" s="15"/>
      <c r="E72" s="15"/>
      <c r="F72" s="15"/>
    </row>
    <row r="73" spans="1:6" x14ac:dyDescent="0.25">
      <c r="A73" s="15" t="s">
        <v>57</v>
      </c>
      <c r="B73" s="36">
        <f>E75</f>
        <v>1.3275581395348837</v>
      </c>
      <c r="C73" s="15"/>
      <c r="D73" s="15"/>
      <c r="E73" s="15"/>
      <c r="F73" s="15"/>
    </row>
    <row r="74" spans="1:6" x14ac:dyDescent="0.25">
      <c r="A74" s="15" t="s">
        <v>58</v>
      </c>
      <c r="B74" s="19">
        <v>6.1600000000000002E-2</v>
      </c>
      <c r="C74" s="15"/>
      <c r="D74" s="15" t="s">
        <v>65</v>
      </c>
      <c r="E74" s="15">
        <v>0.98</v>
      </c>
      <c r="F74" s="15"/>
    </row>
    <row r="75" spans="1:6" x14ac:dyDescent="0.25">
      <c r="A75" s="15" t="s">
        <v>59</v>
      </c>
      <c r="B75" s="19">
        <v>1.0699999999999999E-2</v>
      </c>
      <c r="C75" s="15"/>
      <c r="D75" s="15" t="s">
        <v>66</v>
      </c>
      <c r="E75" s="30">
        <f>E74*(1+(1-C14)*B66/B67)</f>
        <v>1.3275581395348837</v>
      </c>
      <c r="F75" s="15"/>
    </row>
    <row r="76" spans="1:6" x14ac:dyDescent="0.25">
      <c r="A76" s="15" t="s">
        <v>60</v>
      </c>
      <c r="B76" s="16">
        <f>B75+B73*(B74-B75)</f>
        <v>7.8272709302325577E-2</v>
      </c>
      <c r="C76" s="15"/>
      <c r="D76" s="15"/>
      <c r="E76" s="15"/>
      <c r="F76" s="15"/>
    </row>
    <row r="77" spans="1:6" x14ac:dyDescent="0.25">
      <c r="A77" s="18" t="s">
        <v>61</v>
      </c>
      <c r="B77" s="20">
        <f>B76*B67</f>
        <v>4.9495977941176467E-2</v>
      </c>
      <c r="C77" s="15"/>
      <c r="D77" s="15"/>
      <c r="E77" s="15"/>
      <c r="F77" s="15"/>
    </row>
    <row r="78" spans="1:6" x14ac:dyDescent="0.25">
      <c r="A78" s="15"/>
      <c r="B78" s="15"/>
      <c r="C78" s="15"/>
      <c r="D78" s="15"/>
      <c r="E78" s="15"/>
      <c r="F78" s="15"/>
    </row>
    <row r="79" spans="1:6" x14ac:dyDescent="0.25">
      <c r="A79" s="21" t="s">
        <v>62</v>
      </c>
      <c r="B79" s="22">
        <f>B77+F71*B66*(1-C14)</f>
        <v>7.1922448529411764E-2</v>
      </c>
      <c r="C79" s="15"/>
      <c r="D79" s="15"/>
      <c r="E79" s="15"/>
      <c r="F79" s="15"/>
    </row>
    <row r="80" spans="1:6" x14ac:dyDescent="0.25">
      <c r="A80" s="24"/>
      <c r="B80" s="24"/>
      <c r="C80" s="24"/>
      <c r="D80" s="24"/>
      <c r="E80" s="24"/>
      <c r="F80" s="24"/>
    </row>
    <row r="81" spans="1:7" x14ac:dyDescent="0.25">
      <c r="A81" s="24"/>
      <c r="B81" s="25"/>
      <c r="C81" s="24"/>
      <c r="D81" s="24"/>
      <c r="E81" s="24"/>
      <c r="F81" s="24"/>
    </row>
    <row r="82" spans="1:7" x14ac:dyDescent="0.25">
      <c r="A82" s="18" t="s">
        <v>70</v>
      </c>
      <c r="B82" s="31" t="s">
        <v>72</v>
      </c>
      <c r="C82" s="24"/>
      <c r="D82" s="24"/>
      <c r="E82" s="24"/>
      <c r="F82" s="24"/>
    </row>
    <row r="83" spans="1:7" x14ac:dyDescent="0.25">
      <c r="A83" s="24" t="s">
        <v>71</v>
      </c>
      <c r="B83" s="26"/>
      <c r="C83" s="24"/>
      <c r="D83" s="24"/>
      <c r="E83" s="24"/>
      <c r="F83" s="24"/>
    </row>
    <row r="84" spans="1:7" x14ac:dyDescent="0.25">
      <c r="A84" s="24" t="s">
        <v>85</v>
      </c>
      <c r="B84" s="32"/>
      <c r="C84" s="32">
        <f t="shared" ref="C84:F84" si="18">C31</f>
        <v>267530.14772150002</v>
      </c>
      <c r="D84" s="32">
        <f t="shared" si="18"/>
        <v>596680.99544299999</v>
      </c>
      <c r="E84" s="32">
        <f t="shared" si="18"/>
        <v>932215.54316450004</v>
      </c>
      <c r="F84" s="32">
        <f t="shared" si="18"/>
        <v>1274087.4408860002</v>
      </c>
    </row>
    <row r="85" spans="1:7" x14ac:dyDescent="0.25">
      <c r="A85" s="27" t="s">
        <v>73</v>
      </c>
      <c r="B85" s="28"/>
      <c r="C85" s="34">
        <f>C84*$C$14</f>
        <v>104336.75761138501</v>
      </c>
      <c r="D85" s="34">
        <f t="shared" ref="D85:F85" si="19">D84*$C$14</f>
        <v>232705.58822276999</v>
      </c>
      <c r="E85" s="34">
        <f t="shared" si="19"/>
        <v>363564.061834155</v>
      </c>
      <c r="F85" s="34">
        <f t="shared" si="19"/>
        <v>496894.10194554011</v>
      </c>
    </row>
    <row r="86" spans="1:7" x14ac:dyDescent="0.25">
      <c r="A86" s="24" t="s">
        <v>74</v>
      </c>
      <c r="B86" s="24"/>
      <c r="C86" s="34">
        <f>C84-C85</f>
        <v>163193.390110115</v>
      </c>
      <c r="D86" s="34">
        <f t="shared" ref="D86:F86" si="20">D84-D85</f>
        <v>363975.40722022997</v>
      </c>
      <c r="E86" s="34">
        <f t="shared" si="20"/>
        <v>568651.48133034504</v>
      </c>
      <c r="F86" s="34">
        <f t="shared" si="20"/>
        <v>777193.33894046</v>
      </c>
    </row>
    <row r="87" spans="1:7" x14ac:dyDescent="0.25">
      <c r="A87" s="27" t="s">
        <v>75</v>
      </c>
      <c r="B87" s="29"/>
      <c r="C87" s="33">
        <f>C26</f>
        <v>4000</v>
      </c>
      <c r="D87" s="33">
        <f t="shared" ref="D87:F87" si="21">D26</f>
        <v>4000</v>
      </c>
      <c r="E87" s="33">
        <f t="shared" si="21"/>
        <v>4000</v>
      </c>
      <c r="F87" s="33">
        <f t="shared" si="21"/>
        <v>4000</v>
      </c>
    </row>
    <row r="88" spans="1:7" x14ac:dyDescent="0.25">
      <c r="A88" s="15" t="s">
        <v>76</v>
      </c>
      <c r="B88" s="15"/>
      <c r="C88" s="35">
        <f>C86+C87</f>
        <v>167193.390110115</v>
      </c>
      <c r="D88" s="35">
        <f t="shared" ref="D88:F88" si="22">D86+D87</f>
        <v>367975.40722022997</v>
      </c>
      <c r="E88" s="35">
        <f t="shared" si="22"/>
        <v>572651.48133034504</v>
      </c>
      <c r="F88" s="35">
        <f t="shared" si="22"/>
        <v>781193.33894046</v>
      </c>
    </row>
    <row r="90" spans="1:7" x14ac:dyDescent="0.25">
      <c r="A90" s="4" t="s">
        <v>77</v>
      </c>
      <c r="G90" s="4" t="s">
        <v>80</v>
      </c>
    </row>
    <row r="91" spans="1:7" x14ac:dyDescent="0.25">
      <c r="A91" s="4" t="s">
        <v>78</v>
      </c>
      <c r="B91" s="4">
        <v>-20000</v>
      </c>
      <c r="G91" s="4">
        <f>-B91-F43</f>
        <v>4000</v>
      </c>
    </row>
    <row r="92" spans="1:7" x14ac:dyDescent="0.25">
      <c r="A92" s="4" t="s">
        <v>79</v>
      </c>
      <c r="F92" s="4">
        <f>G91</f>
        <v>4000</v>
      </c>
    </row>
    <row r="94" spans="1:7" x14ac:dyDescent="0.25">
      <c r="A94" s="4" t="s">
        <v>81</v>
      </c>
    </row>
    <row r="95" spans="1:7" x14ac:dyDescent="0.25">
      <c r="A95" s="4" t="s">
        <v>82</v>
      </c>
      <c r="C95" s="4">
        <f>-ABS(C45-B45)</f>
        <v>-2597.85831525</v>
      </c>
      <c r="D95" s="4">
        <f t="shared" ref="D95:F95" si="23">-ABS(D45-C45)</f>
        <v>-2652.3083152499999</v>
      </c>
      <c r="E95" s="4">
        <f t="shared" si="23"/>
        <v>-2706.7583152499992</v>
      </c>
      <c r="F95" s="4">
        <f t="shared" si="23"/>
        <v>-2761.2083152500018</v>
      </c>
    </row>
    <row r="97" spans="1:6" x14ac:dyDescent="0.25">
      <c r="A97" s="4" t="s">
        <v>83</v>
      </c>
      <c r="C97" s="4">
        <f>C49-B49</f>
        <v>217994.38</v>
      </c>
      <c r="D97" s="4">
        <f t="shared" ref="D97:F97" si="24">D49-C49</f>
        <v>-3091.1199999999953</v>
      </c>
      <c r="E97" s="4">
        <f t="shared" si="24"/>
        <v>-605.88000000000466</v>
      </c>
      <c r="F97" s="4">
        <f t="shared" si="24"/>
        <v>0</v>
      </c>
    </row>
    <row r="98" spans="1:6" x14ac:dyDescent="0.25">
      <c r="A98" s="4" t="s">
        <v>84</v>
      </c>
      <c r="C98" s="4">
        <f>C85-B85</f>
        <v>104336.75761138501</v>
      </c>
      <c r="D98" s="4">
        <f t="shared" ref="D98:F98" si="25">D85-C85</f>
        <v>128368.83061138498</v>
      </c>
      <c r="E98" s="4">
        <f t="shared" si="25"/>
        <v>130858.47361138501</v>
      </c>
      <c r="F98" s="4">
        <f t="shared" si="25"/>
        <v>133330.04011138511</v>
      </c>
    </row>
    <row r="100" spans="1:6" x14ac:dyDescent="0.25">
      <c r="A100" s="4" t="s">
        <v>86</v>
      </c>
    </row>
    <row r="101" spans="1:6" x14ac:dyDescent="0.25">
      <c r="A101" s="4" t="s">
        <v>82</v>
      </c>
      <c r="F101" s="4">
        <f>F45</f>
        <v>10718.133261000001</v>
      </c>
    </row>
    <row r="103" spans="1:6" x14ac:dyDescent="0.25">
      <c r="A103" s="4" t="s">
        <v>83</v>
      </c>
      <c r="F103" s="4">
        <f>-F49</f>
        <v>-214297.38</v>
      </c>
    </row>
    <row r="104" spans="1:6" x14ac:dyDescent="0.25">
      <c r="A104" s="4" t="s">
        <v>84</v>
      </c>
      <c r="F104" s="4">
        <f>-F86</f>
        <v>-777193.33894046</v>
      </c>
    </row>
    <row r="106" spans="1:6" x14ac:dyDescent="0.25">
      <c r="A106" s="4" t="s">
        <v>87</v>
      </c>
      <c r="B106" s="4">
        <f>SUM(B88:B104)</f>
        <v>-20000</v>
      </c>
      <c r="C106" s="4">
        <f t="shared" ref="C106:F106" si="26">SUM(C88:C104)</f>
        <v>486926.66940625006</v>
      </c>
      <c r="D106" s="4">
        <f t="shared" si="26"/>
        <v>490600.809516365</v>
      </c>
      <c r="E106" s="4">
        <f t="shared" si="26"/>
        <v>700197.31662647997</v>
      </c>
      <c r="F106" s="4">
        <f t="shared" si="26"/>
        <v>-65010.414942864911</v>
      </c>
    </row>
    <row r="107" spans="1:6" x14ac:dyDescent="0.25">
      <c r="A107" s="4" t="s">
        <v>88</v>
      </c>
      <c r="B107" s="4">
        <f>-PV($B$110,B108,,B106)</f>
        <v>-20000</v>
      </c>
      <c r="C107" s="4">
        <f t="shared" ref="C107:F107" si="27">-PV($B$110,C108,,C106)</f>
        <v>454255.5014817284</v>
      </c>
      <c r="D107" s="4">
        <f t="shared" si="27"/>
        <v>426974.09647381259</v>
      </c>
      <c r="E107" s="4">
        <f t="shared" si="27"/>
        <v>568499.83587451745</v>
      </c>
      <c r="F107" s="4">
        <f t="shared" si="27"/>
        <v>-49241.295849690403</v>
      </c>
    </row>
    <row r="108" spans="1:6" x14ac:dyDescent="0.25">
      <c r="A108" s="4" t="s">
        <v>89</v>
      </c>
      <c r="B108" s="37">
        <v>0</v>
      </c>
      <c r="C108" s="4">
        <v>1</v>
      </c>
      <c r="D108" s="4">
        <v>2</v>
      </c>
      <c r="E108" s="4">
        <v>3</v>
      </c>
      <c r="F108" s="4">
        <v>4</v>
      </c>
    </row>
    <row r="110" spans="1:6" x14ac:dyDescent="0.25">
      <c r="A110" s="4" t="s">
        <v>62</v>
      </c>
      <c r="B110" s="10">
        <f>B79</f>
        <v>7.1922448529411764E-2</v>
      </c>
    </row>
    <row r="111" spans="1:6" x14ac:dyDescent="0.25">
      <c r="A111" s="4" t="s">
        <v>90</v>
      </c>
      <c r="B111" s="4">
        <f>SUM(B107:F107)</f>
        <v>1380488.137980368</v>
      </c>
    </row>
    <row r="112" spans="1:6" x14ac:dyDescent="0.25">
      <c r="A112" s="4" t="s">
        <v>91</v>
      </c>
      <c r="B112" s="9">
        <f>IRR(B106:F106)</f>
        <v>24.367524746268593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A26" sqref="A26"/>
    </sheetView>
  </sheetViews>
  <sheetFormatPr defaultRowHeight="15" x14ac:dyDescent="0.25"/>
  <cols>
    <col min="1" max="1" width="20.140625" bestFit="1" customWidth="1"/>
    <col min="2" max="2" width="20.85546875" customWidth="1"/>
    <col min="3" max="3" width="14.28515625" customWidth="1"/>
    <col min="4" max="4" width="11.140625" customWidth="1"/>
    <col min="5" max="5" width="20.140625" customWidth="1"/>
    <col min="6" max="6" width="14.7109375" customWidth="1"/>
    <col min="7" max="7" width="18.140625" customWidth="1"/>
    <col min="8" max="9" width="14.140625" customWidth="1"/>
    <col min="10" max="10" width="15.28515625" bestFit="1" customWidth="1"/>
  </cols>
  <sheetData>
    <row r="2" spans="1:10" x14ac:dyDescent="0.25">
      <c r="B2">
        <v>35</v>
      </c>
      <c r="C2">
        <v>78</v>
      </c>
    </row>
    <row r="3" spans="1:10" x14ac:dyDescent="0.25">
      <c r="C3">
        <f>C2-B2</f>
        <v>43</v>
      </c>
    </row>
    <row r="4" spans="1:10" x14ac:dyDescent="0.25">
      <c r="A4">
        <v>1000</v>
      </c>
      <c r="B4" s="38">
        <v>5</v>
      </c>
      <c r="C4" s="38"/>
      <c r="D4" s="38"/>
      <c r="E4" s="38"/>
      <c r="F4" s="38"/>
      <c r="G4" s="38"/>
      <c r="H4" s="38"/>
      <c r="I4" s="38"/>
      <c r="J4" s="38"/>
    </row>
    <row r="5" spans="1:10" x14ac:dyDescent="0.25">
      <c r="A5">
        <v>500</v>
      </c>
      <c r="B5" s="39">
        <v>5</v>
      </c>
      <c r="C5" s="39"/>
      <c r="D5" s="39"/>
      <c r="E5" s="39"/>
      <c r="F5" s="39"/>
      <c r="G5" s="39"/>
      <c r="H5" s="39"/>
      <c r="I5" s="14"/>
    </row>
    <row r="6" spans="1:10" x14ac:dyDescent="0.25">
      <c r="A6">
        <v>250</v>
      </c>
      <c r="B6" s="44">
        <v>14</v>
      </c>
      <c r="C6" s="44"/>
      <c r="D6" s="44"/>
      <c r="E6" s="44"/>
      <c r="F6" s="44"/>
      <c r="G6" s="44"/>
    </row>
    <row r="7" spans="1:10" x14ac:dyDescent="0.25">
      <c r="A7" t="s">
        <v>49</v>
      </c>
      <c r="B7" s="43">
        <v>4</v>
      </c>
      <c r="C7" s="43"/>
      <c r="D7" s="43"/>
      <c r="E7" s="43"/>
      <c r="F7" s="43"/>
    </row>
    <row r="8" spans="1:10" x14ac:dyDescent="0.25">
      <c r="A8">
        <v>100</v>
      </c>
      <c r="B8" s="42">
        <v>138</v>
      </c>
      <c r="C8" s="42"/>
      <c r="D8" s="42"/>
      <c r="E8" s="42"/>
    </row>
    <row r="9" spans="1:10" x14ac:dyDescent="0.25">
      <c r="A9">
        <v>50</v>
      </c>
      <c r="B9" s="41">
        <v>51</v>
      </c>
      <c r="C9" s="41"/>
      <c r="D9" s="41"/>
      <c r="E9" s="1"/>
    </row>
    <row r="10" spans="1:10" x14ac:dyDescent="0.25">
      <c r="A10">
        <v>25</v>
      </c>
      <c r="B10" s="40">
        <v>173</v>
      </c>
      <c r="C10" s="40"/>
    </row>
    <row r="11" spans="1:10" x14ac:dyDescent="0.25">
      <c r="B11" t="s">
        <v>11</v>
      </c>
      <c r="C11" t="s">
        <v>12</v>
      </c>
      <c r="D11" t="s">
        <v>13</v>
      </c>
      <c r="E11" t="s">
        <v>14</v>
      </c>
      <c r="F11" t="s">
        <v>15</v>
      </c>
      <c r="G11" t="s">
        <v>16</v>
      </c>
      <c r="H11" t="s">
        <v>17</v>
      </c>
      <c r="J11" t="s">
        <v>19</v>
      </c>
    </row>
    <row r="13" spans="1:10" x14ac:dyDescent="0.25">
      <c r="B13">
        <f>B10+B9</f>
        <v>224</v>
      </c>
      <c r="C13">
        <f>B10+B9+B8+B7+B6+B5+B4</f>
        <v>390</v>
      </c>
      <c r="D13">
        <f>B9</f>
        <v>51</v>
      </c>
      <c r="E13">
        <f>B8+B7+B6+B5+B4</f>
        <v>166</v>
      </c>
      <c r="F13">
        <f>B7+B6+B5+B4</f>
        <v>28</v>
      </c>
      <c r="G13">
        <f>B6+B5+B4</f>
        <v>24</v>
      </c>
      <c r="H13">
        <f>B5+B4</f>
        <v>10</v>
      </c>
    </row>
    <row r="14" spans="1:10" x14ac:dyDescent="0.25">
      <c r="A14" t="s">
        <v>18</v>
      </c>
      <c r="B14">
        <f>0.99*12</f>
        <v>11.879999999999999</v>
      </c>
      <c r="C14">
        <f>C3*(12*0.99*0.65)</f>
        <v>332.04599999999999</v>
      </c>
      <c r="D14">
        <f>B14</f>
        <v>11.879999999999999</v>
      </c>
      <c r="E14">
        <f>C3*12*0.99</f>
        <v>510.84</v>
      </c>
      <c r="F14">
        <v>5</v>
      </c>
      <c r="G14">
        <v>10</v>
      </c>
      <c r="H14">
        <f>F14</f>
        <v>5</v>
      </c>
    </row>
    <row r="15" spans="1:10" x14ac:dyDescent="0.25">
      <c r="B15">
        <f t="shared" ref="B15:H15" si="0">B13*B14</f>
        <v>2661.12</v>
      </c>
      <c r="C15">
        <f t="shared" si="0"/>
        <v>129497.94</v>
      </c>
      <c r="D15">
        <f t="shared" si="0"/>
        <v>605.88</v>
      </c>
      <c r="E15">
        <f t="shared" si="0"/>
        <v>84799.44</v>
      </c>
      <c r="F15">
        <f t="shared" si="0"/>
        <v>140</v>
      </c>
      <c r="G15">
        <f t="shared" si="0"/>
        <v>240</v>
      </c>
      <c r="H15">
        <f t="shared" si="0"/>
        <v>50</v>
      </c>
      <c r="J15" s="2">
        <f>SUM(B15:H15)</f>
        <v>217994.38</v>
      </c>
    </row>
    <row r="17" spans="1:10" x14ac:dyDescent="0.25">
      <c r="A17" t="s">
        <v>32</v>
      </c>
      <c r="J17" s="4">
        <f>C15+D15+E15</f>
        <v>214903.26</v>
      </c>
    </row>
    <row r="18" spans="1:10" x14ac:dyDescent="0.25">
      <c r="A18" t="s">
        <v>33</v>
      </c>
      <c r="J18">
        <f>C15+E15</f>
        <v>214297.38</v>
      </c>
    </row>
  </sheetData>
  <mergeCells count="7">
    <mergeCell ref="B4:J4"/>
    <mergeCell ref="B5:H5"/>
    <mergeCell ref="B10:C10"/>
    <mergeCell ref="B9:D9"/>
    <mergeCell ref="B8:E8"/>
    <mergeCell ref="B7:F7"/>
    <mergeCell ref="B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2013-12-13T18:11:06Z</dcterms:created>
  <dcterms:modified xsi:type="dcterms:W3CDTF">2019-05-16T21:37:18Z</dcterms:modified>
</cp:coreProperties>
</file>