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autoCompressPictures="0"/>
  <bookViews>
    <workbookView xWindow="120" yWindow="75" windowWidth="9555" windowHeight="7740" firstSheet="1" activeTab="1"/>
  </bookViews>
  <sheets>
    <sheet name="Assumptions" sheetId="5" r:id="rId1"/>
    <sheet name="ForecastWithIRR&amp;NPV" sheetId="4" r:id="rId2"/>
    <sheet name="Wacc-ReleverBetaCalc" sheetId="7" r:id="rId3"/>
    <sheet name="Amortization" sheetId="2" r:id="rId4"/>
  </sheets>
  <definedNames>
    <definedName name="Bal_Var">#REF!</definedName>
    <definedName name="Bal_Var2">#REF!</definedName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ds">#REF!</definedName>
    <definedName name="Num_Pds2">#REF!</definedName>
    <definedName name="Num_Per">#REF!</definedName>
    <definedName name="Num_Per2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MT_Var">#REF!</definedName>
    <definedName name="PMT_Var2">#REF!</definedName>
    <definedName name="Princ">#REF!</definedName>
    <definedName name="Print_Area_Reset">OFFSET(Full_Print,0,0,Last_Row)</definedName>
    <definedName name="Rate_Var">#REF!</definedName>
    <definedName name="Rate_Var2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7" l="1"/>
  <c r="J5" i="7"/>
  <c r="J4" i="7"/>
  <c r="J6" i="7"/>
  <c r="J12" i="7"/>
  <c r="A53" i="4"/>
  <c r="I32" i="4"/>
  <c r="H88" i="4"/>
  <c r="H92" i="4"/>
  <c r="Z87" i="4"/>
  <c r="A55" i="4"/>
  <c r="I17" i="4"/>
  <c r="I33" i="4"/>
  <c r="J17" i="4"/>
  <c r="J33" i="4"/>
  <c r="K17" i="4"/>
  <c r="K33" i="4"/>
  <c r="L17" i="4"/>
  <c r="L33" i="4"/>
  <c r="M17" i="4"/>
  <c r="M33" i="4"/>
  <c r="N17" i="4"/>
  <c r="N33" i="4"/>
  <c r="O17" i="4"/>
  <c r="O33" i="4"/>
  <c r="P17" i="4"/>
  <c r="P33" i="4"/>
  <c r="Q17" i="4"/>
  <c r="Q33" i="4"/>
  <c r="R17" i="4"/>
  <c r="R33" i="4"/>
  <c r="S17" i="4"/>
  <c r="S33" i="4"/>
  <c r="T17" i="4"/>
  <c r="T33" i="4"/>
  <c r="U17" i="4"/>
  <c r="U33" i="4"/>
  <c r="V17" i="4"/>
  <c r="V33" i="4"/>
  <c r="W17" i="4"/>
  <c r="W33" i="4"/>
  <c r="Z88" i="4"/>
  <c r="Z89" i="4"/>
  <c r="I8" i="4"/>
  <c r="I63" i="4"/>
  <c r="D22" i="4"/>
  <c r="I9" i="4"/>
  <c r="I64" i="4"/>
  <c r="I12" i="4"/>
  <c r="I13" i="4"/>
  <c r="I14" i="4"/>
  <c r="I15" i="4"/>
  <c r="I65" i="4"/>
  <c r="I66" i="4"/>
  <c r="I68" i="4"/>
  <c r="I70" i="4"/>
  <c r="I72" i="4"/>
  <c r="I80" i="4"/>
  <c r="B7" i="4"/>
  <c r="J8" i="4"/>
  <c r="J63" i="4"/>
  <c r="D23" i="4"/>
  <c r="J9" i="4"/>
  <c r="J64" i="4"/>
  <c r="J65" i="4"/>
  <c r="J66" i="4"/>
  <c r="J68" i="4"/>
  <c r="J70" i="4"/>
  <c r="J72" i="4"/>
  <c r="J80" i="4"/>
  <c r="B8" i="4"/>
  <c r="K8" i="4"/>
  <c r="K63" i="4"/>
  <c r="D24" i="4"/>
  <c r="K9" i="4"/>
  <c r="K64" i="4"/>
  <c r="J12" i="4"/>
  <c r="J13" i="4"/>
  <c r="J14" i="4"/>
  <c r="J15" i="4"/>
  <c r="K65" i="4"/>
  <c r="K66" i="4"/>
  <c r="K68" i="4"/>
  <c r="K70" i="4"/>
  <c r="K72" i="4"/>
  <c r="K80" i="4"/>
  <c r="B9" i="4"/>
  <c r="L8" i="4"/>
  <c r="L63" i="4"/>
  <c r="D25" i="4"/>
  <c r="L9" i="4"/>
  <c r="L64" i="4"/>
  <c r="K12" i="4"/>
  <c r="K13" i="4"/>
  <c r="K14" i="4"/>
  <c r="K15" i="4"/>
  <c r="L65" i="4"/>
  <c r="L66" i="4"/>
  <c r="L68" i="4"/>
  <c r="L70" i="4"/>
  <c r="L72" i="4"/>
  <c r="L80" i="4"/>
  <c r="B10" i="4"/>
  <c r="M8" i="4"/>
  <c r="M63" i="4"/>
  <c r="M9" i="4"/>
  <c r="M64" i="4"/>
  <c r="L12" i="4"/>
  <c r="L13" i="4"/>
  <c r="L14" i="4"/>
  <c r="L15" i="4"/>
  <c r="M65" i="4"/>
  <c r="M66" i="4"/>
  <c r="M68" i="4"/>
  <c r="M70" i="4"/>
  <c r="M72" i="4"/>
  <c r="M80" i="4"/>
  <c r="B11" i="4"/>
  <c r="N8" i="4"/>
  <c r="N63" i="4"/>
  <c r="N9" i="4"/>
  <c r="N64" i="4"/>
  <c r="M12" i="4"/>
  <c r="M13" i="4"/>
  <c r="M14" i="4"/>
  <c r="M15" i="4"/>
  <c r="N65" i="4"/>
  <c r="N66" i="4"/>
  <c r="N68" i="4"/>
  <c r="N70" i="4"/>
  <c r="N72" i="4"/>
  <c r="N80" i="4"/>
  <c r="B12" i="4"/>
  <c r="O8" i="4"/>
  <c r="O63" i="4"/>
  <c r="O9" i="4"/>
  <c r="O64" i="4"/>
  <c r="N12" i="4"/>
  <c r="N13" i="4"/>
  <c r="N14" i="4"/>
  <c r="N15" i="4"/>
  <c r="O65" i="4"/>
  <c r="O66" i="4"/>
  <c r="O68" i="4"/>
  <c r="O70" i="4"/>
  <c r="O72" i="4"/>
  <c r="O80" i="4"/>
  <c r="B13" i="4"/>
  <c r="P8" i="4"/>
  <c r="P63" i="4"/>
  <c r="P9" i="4"/>
  <c r="P64" i="4"/>
  <c r="O12" i="4"/>
  <c r="O13" i="4"/>
  <c r="O14" i="4"/>
  <c r="O15" i="4"/>
  <c r="P65" i="4"/>
  <c r="P66" i="4"/>
  <c r="P68" i="4"/>
  <c r="P70" i="4"/>
  <c r="P72" i="4"/>
  <c r="P80" i="4"/>
  <c r="D6" i="4"/>
  <c r="Q8" i="4"/>
  <c r="Q63" i="4"/>
  <c r="Q9" i="4"/>
  <c r="Q64" i="4"/>
  <c r="P12" i="4"/>
  <c r="P13" i="4"/>
  <c r="P14" i="4"/>
  <c r="P15" i="4"/>
  <c r="Q65" i="4"/>
  <c r="Q66" i="4"/>
  <c r="Q68" i="4"/>
  <c r="Q70" i="4"/>
  <c r="Q72" i="4"/>
  <c r="Q80" i="4"/>
  <c r="D7" i="4"/>
  <c r="R8" i="4"/>
  <c r="R63" i="4"/>
  <c r="R9" i="4"/>
  <c r="R64" i="4"/>
  <c r="Q12" i="4"/>
  <c r="Q13" i="4"/>
  <c r="Q14" i="4"/>
  <c r="Q15" i="4"/>
  <c r="R65" i="4"/>
  <c r="R66" i="4"/>
  <c r="R68" i="4"/>
  <c r="R70" i="4"/>
  <c r="R72" i="4"/>
  <c r="R80" i="4"/>
  <c r="D8" i="4"/>
  <c r="S8" i="4"/>
  <c r="S63" i="4"/>
  <c r="S9" i="4"/>
  <c r="S64" i="4"/>
  <c r="R12" i="4"/>
  <c r="R13" i="4"/>
  <c r="R14" i="4"/>
  <c r="R15" i="4"/>
  <c r="S65" i="4"/>
  <c r="S66" i="4"/>
  <c r="S68" i="4"/>
  <c r="S70" i="4"/>
  <c r="S72" i="4"/>
  <c r="S80" i="4"/>
  <c r="D9" i="4"/>
  <c r="T8" i="4"/>
  <c r="T63" i="4"/>
  <c r="T9" i="4"/>
  <c r="T64" i="4"/>
  <c r="S12" i="4"/>
  <c r="S13" i="4"/>
  <c r="S14" i="4"/>
  <c r="S15" i="4"/>
  <c r="T65" i="4"/>
  <c r="T66" i="4"/>
  <c r="T68" i="4"/>
  <c r="T70" i="4"/>
  <c r="T72" i="4"/>
  <c r="T80" i="4"/>
  <c r="D10" i="4"/>
  <c r="U8" i="4"/>
  <c r="U63" i="4"/>
  <c r="U9" i="4"/>
  <c r="U64" i="4"/>
  <c r="T12" i="4"/>
  <c r="T13" i="4"/>
  <c r="T14" i="4"/>
  <c r="T15" i="4"/>
  <c r="U65" i="4"/>
  <c r="U66" i="4"/>
  <c r="U68" i="4"/>
  <c r="U70" i="4"/>
  <c r="U72" i="4"/>
  <c r="U80" i="4"/>
  <c r="D11" i="4"/>
  <c r="V8" i="4"/>
  <c r="V63" i="4"/>
  <c r="V9" i="4"/>
  <c r="V64" i="4"/>
  <c r="U12" i="4"/>
  <c r="U13" i="4"/>
  <c r="U14" i="4"/>
  <c r="U15" i="4"/>
  <c r="V65" i="4"/>
  <c r="V66" i="4"/>
  <c r="V68" i="4"/>
  <c r="V70" i="4"/>
  <c r="V72" i="4"/>
  <c r="V80" i="4"/>
  <c r="D12" i="4"/>
  <c r="W8" i="4"/>
  <c r="W63" i="4"/>
  <c r="W9" i="4"/>
  <c r="W64" i="4"/>
  <c r="V12" i="4"/>
  <c r="V13" i="4"/>
  <c r="V14" i="4"/>
  <c r="V15" i="4"/>
  <c r="W65" i="4"/>
  <c r="W66" i="4"/>
  <c r="W68" i="4"/>
  <c r="W70" i="4"/>
  <c r="W72" i="4"/>
  <c r="W80" i="4"/>
  <c r="X85" i="4"/>
  <c r="B22" i="4"/>
  <c r="C22" i="4"/>
  <c r="I31" i="4"/>
  <c r="I79" i="4"/>
  <c r="B23" i="4"/>
  <c r="C23" i="4"/>
  <c r="J31" i="4"/>
  <c r="J79" i="4"/>
  <c r="B24" i="4"/>
  <c r="C24" i="4"/>
  <c r="K31" i="4"/>
  <c r="K79" i="4"/>
  <c r="B25" i="4"/>
  <c r="C25" i="4"/>
  <c r="L31" i="4"/>
  <c r="L79" i="4"/>
  <c r="B26" i="4"/>
  <c r="C26" i="4"/>
  <c r="M31" i="4"/>
  <c r="M79" i="4"/>
  <c r="B27" i="4"/>
  <c r="C27" i="4"/>
  <c r="N31" i="4"/>
  <c r="N79" i="4"/>
  <c r="B28" i="4"/>
  <c r="C28" i="4"/>
  <c r="O31" i="4"/>
  <c r="O79" i="4"/>
  <c r="B29" i="4"/>
  <c r="C29" i="4"/>
  <c r="P31" i="4"/>
  <c r="P79" i="4"/>
  <c r="B30" i="4"/>
  <c r="C30" i="4"/>
  <c r="Q31" i="4"/>
  <c r="Q79" i="4"/>
  <c r="B31" i="4"/>
  <c r="C31" i="4"/>
  <c r="R31" i="4"/>
  <c r="R79" i="4"/>
  <c r="B32" i="4"/>
  <c r="C32" i="4"/>
  <c r="S31" i="4"/>
  <c r="S79" i="4"/>
  <c r="B33" i="4"/>
  <c r="C33" i="4"/>
  <c r="T31" i="4"/>
  <c r="T79" i="4"/>
  <c r="B34" i="4"/>
  <c r="C34" i="4"/>
  <c r="U31" i="4"/>
  <c r="U79" i="4"/>
  <c r="B35" i="4"/>
  <c r="C35" i="4"/>
  <c r="V31" i="4"/>
  <c r="V79" i="4"/>
  <c r="B36" i="4"/>
  <c r="C36" i="4"/>
  <c r="W31" i="4"/>
  <c r="W79" i="4"/>
  <c r="X84" i="4"/>
  <c r="I78" i="4"/>
  <c r="K78" i="4"/>
  <c r="M78" i="4"/>
  <c r="X83" i="4"/>
  <c r="W83" i="4"/>
  <c r="W85" i="4"/>
  <c r="L30" i="4"/>
  <c r="J30" i="4"/>
  <c r="F4" i="2"/>
  <c r="C5" i="2"/>
  <c r="D5" i="2"/>
  <c r="E5" i="2"/>
  <c r="F5" i="2"/>
  <c r="C6" i="2"/>
  <c r="D6" i="2"/>
  <c r="E6" i="2"/>
  <c r="F6" i="2"/>
  <c r="C7" i="2"/>
  <c r="D7" i="2"/>
  <c r="E7" i="2"/>
  <c r="F7" i="2"/>
  <c r="C8" i="2"/>
  <c r="D8" i="2"/>
  <c r="E8" i="2"/>
  <c r="F8" i="2"/>
  <c r="C9" i="2"/>
  <c r="D9" i="2"/>
  <c r="E9" i="2"/>
  <c r="F9" i="2"/>
  <c r="C10" i="2"/>
  <c r="D10" i="2"/>
  <c r="E10" i="2"/>
  <c r="F10" i="2"/>
  <c r="N39" i="4"/>
  <c r="C11" i="2"/>
  <c r="D11" i="2"/>
  <c r="E11" i="2"/>
  <c r="F11" i="2"/>
  <c r="O39" i="4"/>
  <c r="C12" i="2"/>
  <c r="D12" i="2"/>
  <c r="E12" i="2"/>
  <c r="F12" i="2"/>
  <c r="P39" i="4"/>
  <c r="C13" i="2"/>
  <c r="D13" i="2"/>
  <c r="E13" i="2"/>
  <c r="F13" i="2"/>
  <c r="Q39" i="4"/>
  <c r="C14" i="2"/>
  <c r="D14" i="2"/>
  <c r="E14" i="2"/>
  <c r="F14" i="2"/>
  <c r="R39" i="4"/>
  <c r="C15" i="2"/>
  <c r="D15" i="2"/>
  <c r="E15" i="2"/>
  <c r="F15" i="2"/>
  <c r="S39" i="4"/>
  <c r="C16" i="2"/>
  <c r="D16" i="2"/>
  <c r="E16" i="2"/>
  <c r="F16" i="2"/>
  <c r="T39" i="4"/>
  <c r="C17" i="2"/>
  <c r="D17" i="2"/>
  <c r="E17" i="2"/>
  <c r="F17" i="2"/>
  <c r="U39" i="4"/>
  <c r="C18" i="2"/>
  <c r="D18" i="2"/>
  <c r="E18" i="2"/>
  <c r="F18" i="2"/>
  <c r="V39" i="4"/>
  <c r="C19" i="2"/>
  <c r="D19" i="2"/>
  <c r="E19" i="2"/>
  <c r="F19" i="2"/>
  <c r="W39" i="4"/>
  <c r="J39" i="4"/>
  <c r="K39" i="4"/>
  <c r="L39" i="4"/>
  <c r="M39" i="4"/>
  <c r="I39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F19" i="7"/>
  <c r="J35" i="7"/>
  <c r="J24" i="7"/>
  <c r="J7" i="7"/>
  <c r="J53" i="7"/>
  <c r="K35" i="7"/>
  <c r="J33" i="7"/>
  <c r="N21" i="7"/>
  <c r="J32" i="7"/>
  <c r="I21" i="4"/>
  <c r="J29" i="4"/>
  <c r="J21" i="4"/>
  <c r="J22" i="4"/>
  <c r="K21" i="4"/>
  <c r="K22" i="4"/>
  <c r="L21" i="4"/>
  <c r="L22" i="4"/>
  <c r="M21" i="4"/>
  <c r="M22" i="4"/>
  <c r="N21" i="4"/>
  <c r="N22" i="4"/>
  <c r="O21" i="4"/>
  <c r="O22" i="4"/>
  <c r="P21" i="4"/>
  <c r="P22" i="4"/>
  <c r="Q21" i="4"/>
  <c r="Q22" i="4"/>
  <c r="R21" i="4"/>
  <c r="R22" i="4"/>
  <c r="S21" i="4"/>
  <c r="S22" i="4"/>
  <c r="T21" i="4"/>
  <c r="T22" i="4"/>
  <c r="U21" i="4"/>
  <c r="U22" i="4"/>
  <c r="V21" i="4"/>
  <c r="V22" i="4"/>
  <c r="W21" i="4"/>
  <c r="W22" i="4"/>
  <c r="D26" i="4"/>
  <c r="D27" i="4"/>
  <c r="D28" i="4"/>
  <c r="D29" i="4"/>
  <c r="D30" i="4"/>
  <c r="D31" i="4"/>
  <c r="D32" i="4"/>
  <c r="D33" i="4"/>
  <c r="D34" i="4"/>
  <c r="D35" i="4"/>
  <c r="D36" i="4"/>
  <c r="W13" i="4"/>
  <c r="W14" i="4"/>
  <c r="W15" i="4"/>
  <c r="V43" i="4"/>
  <c r="W43" i="4"/>
  <c r="M43" i="4"/>
  <c r="N43" i="4"/>
  <c r="O43" i="4"/>
  <c r="P43" i="4"/>
  <c r="Q43" i="4"/>
  <c r="R43" i="4"/>
  <c r="S43" i="4"/>
  <c r="T43" i="4"/>
  <c r="U43" i="4"/>
  <c r="F64" i="4"/>
  <c r="F63" i="4"/>
  <c r="W12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J43" i="4"/>
  <c r="K43" i="4"/>
  <c r="L43" i="4"/>
  <c r="I43" i="4"/>
  <c r="J32" i="4"/>
  <c r="K32" i="4"/>
  <c r="L32" i="4"/>
  <c r="O32" i="4"/>
  <c r="S32" i="4"/>
  <c r="M32" i="4"/>
  <c r="U32" i="4"/>
  <c r="T32" i="4"/>
  <c r="W32" i="4"/>
  <c r="N32" i="4"/>
  <c r="R32" i="4"/>
  <c r="V32" i="4"/>
  <c r="Q32" i="4"/>
  <c r="P32" i="4"/>
  <c r="I22" i="4"/>
  <c r="O73" i="4"/>
  <c r="S73" i="4"/>
  <c r="N73" i="4"/>
  <c r="R73" i="4"/>
  <c r="V73" i="4"/>
  <c r="W73" i="4"/>
  <c r="Q73" i="4"/>
  <c r="U73" i="4"/>
  <c r="P73" i="4"/>
  <c r="T73" i="4"/>
  <c r="M18" i="4"/>
  <c r="I18" i="4"/>
  <c r="N18" i="4"/>
  <c r="N2" i="2"/>
  <c r="K73" i="4"/>
  <c r="L73" i="4"/>
  <c r="M73" i="4"/>
  <c r="O18" i="4"/>
  <c r="W89" i="4"/>
  <c r="J73" i="4"/>
  <c r="I73" i="4"/>
  <c r="N4" i="2"/>
  <c r="K18" i="4"/>
  <c r="P18" i="4"/>
  <c r="L18" i="4"/>
  <c r="J18" i="4"/>
  <c r="Q18" i="4"/>
  <c r="I10" i="4"/>
  <c r="I19" i="4"/>
  <c r="I23" i="4"/>
  <c r="I24" i="4"/>
  <c r="I38" i="4"/>
  <c r="I41" i="4"/>
  <c r="I34" i="4"/>
  <c r="J10" i="4"/>
  <c r="K10" i="4"/>
  <c r="Z92" i="4"/>
  <c r="W90" i="4"/>
  <c r="W75" i="4"/>
  <c r="W84" i="4"/>
  <c r="W92" i="4"/>
  <c r="I75" i="4"/>
  <c r="I92" i="4"/>
  <c r="J75" i="4"/>
  <c r="J92" i="4"/>
  <c r="K75" i="4"/>
  <c r="K92" i="4"/>
  <c r="L75" i="4"/>
  <c r="L92" i="4"/>
  <c r="M75" i="4"/>
  <c r="M92" i="4"/>
  <c r="N75" i="4"/>
  <c r="N92" i="4"/>
  <c r="O75" i="4"/>
  <c r="O92" i="4"/>
  <c r="P75" i="4"/>
  <c r="P92" i="4"/>
  <c r="Q75" i="4"/>
  <c r="Q92" i="4"/>
  <c r="R75" i="4"/>
  <c r="R92" i="4"/>
  <c r="S75" i="4"/>
  <c r="S92" i="4"/>
  <c r="T75" i="4"/>
  <c r="T92" i="4"/>
  <c r="U75" i="4"/>
  <c r="U92" i="4"/>
  <c r="V75" i="4"/>
  <c r="V92" i="4"/>
  <c r="H95" i="4"/>
  <c r="R18" i="4"/>
  <c r="K34" i="4"/>
  <c r="K23" i="4"/>
  <c r="K24" i="4"/>
  <c r="K38" i="4"/>
  <c r="K50" i="4"/>
  <c r="K19" i="4"/>
  <c r="J23" i="4"/>
  <c r="J24" i="4"/>
  <c r="J38" i="4"/>
  <c r="J19" i="4"/>
  <c r="L10" i="4"/>
  <c r="J34" i="4"/>
  <c r="J50" i="4"/>
  <c r="L34" i="4"/>
  <c r="M10" i="4"/>
  <c r="L23" i="4"/>
  <c r="L24" i="4"/>
  <c r="L19" i="4"/>
  <c r="I25" i="4"/>
  <c r="I44" i="4"/>
  <c r="K25" i="4"/>
  <c r="S18" i="4"/>
  <c r="N10" i="4"/>
  <c r="M34" i="4"/>
  <c r="M23" i="4"/>
  <c r="M19" i="4"/>
  <c r="L38" i="4"/>
  <c r="L50" i="4"/>
  <c r="I52" i="4"/>
  <c r="K52" i="4"/>
  <c r="J25" i="4"/>
  <c r="K41" i="4"/>
  <c r="I45" i="4"/>
  <c r="I46" i="4"/>
  <c r="I48" i="4"/>
  <c r="J44" i="4"/>
  <c r="J45" i="4"/>
  <c r="J51" i="4"/>
  <c r="N23" i="4"/>
  <c r="N19" i="4"/>
  <c r="N34" i="4"/>
  <c r="M24" i="4"/>
  <c r="M38" i="4"/>
  <c r="O10" i="4"/>
  <c r="J52" i="4"/>
  <c r="J41" i="4"/>
  <c r="L25" i="4"/>
  <c r="I51" i="4"/>
  <c r="I53" i="4"/>
  <c r="N24" i="4"/>
  <c r="N38" i="4"/>
  <c r="O34" i="4"/>
  <c r="P10" i="4"/>
  <c r="M41" i="4"/>
  <c r="M50" i="4"/>
  <c r="O23" i="4"/>
  <c r="O19" i="4"/>
  <c r="M25" i="4"/>
  <c r="M52" i="4"/>
  <c r="L52" i="4"/>
  <c r="J53" i="4"/>
  <c r="J46" i="4"/>
  <c r="J48" i="4"/>
  <c r="K44" i="4"/>
  <c r="K45" i="4"/>
  <c r="L41" i="4"/>
  <c r="N25" i="4"/>
  <c r="N52" i="4"/>
  <c r="P23" i="4"/>
  <c r="P19" i="4"/>
  <c r="Q10" i="4"/>
  <c r="P34" i="4"/>
  <c r="N41" i="4"/>
  <c r="N50" i="4"/>
  <c r="O24" i="4"/>
  <c r="O38" i="4"/>
  <c r="K51" i="4"/>
  <c r="K53" i="4"/>
  <c r="L44" i="4"/>
  <c r="M44" i="4"/>
  <c r="K46" i="4"/>
  <c r="K48" i="4"/>
  <c r="U18" i="4"/>
  <c r="R10" i="4"/>
  <c r="Q34" i="4"/>
  <c r="Q23" i="4"/>
  <c r="Q19" i="4"/>
  <c r="O41" i="4"/>
  <c r="O50" i="4"/>
  <c r="P24" i="4"/>
  <c r="P38" i="4"/>
  <c r="O25" i="4"/>
  <c r="O52" i="4"/>
  <c r="M45" i="4"/>
  <c r="N44" i="4"/>
  <c r="L45" i="4"/>
  <c r="P41" i="4"/>
  <c r="P50" i="4"/>
  <c r="Q24" i="4"/>
  <c r="Q38" i="4"/>
  <c r="R34" i="4"/>
  <c r="S10" i="4"/>
  <c r="R23" i="4"/>
  <c r="R19" i="4"/>
  <c r="P25" i="4"/>
  <c r="P52" i="4"/>
  <c r="M53" i="4"/>
  <c r="M46" i="4"/>
  <c r="M48" i="4"/>
  <c r="M51" i="4"/>
  <c r="O44" i="4"/>
  <c r="N45" i="4"/>
  <c r="L46" i="4"/>
  <c r="L48" i="4"/>
  <c r="L51" i="4"/>
  <c r="L53" i="4"/>
  <c r="V18" i="4"/>
  <c r="R24" i="4"/>
  <c r="R38" i="4"/>
  <c r="Q41" i="4"/>
  <c r="Q50" i="4"/>
  <c r="S34" i="4"/>
  <c r="S23" i="4"/>
  <c r="S19" i="4"/>
  <c r="T10" i="4"/>
  <c r="T23" i="4"/>
  <c r="Q25" i="4"/>
  <c r="Q52" i="4"/>
  <c r="N46" i="4"/>
  <c r="N48" i="4"/>
  <c r="N53" i="4"/>
  <c r="N51" i="4"/>
  <c r="O45" i="4"/>
  <c r="P44" i="4"/>
  <c r="T34" i="4"/>
  <c r="T24" i="4"/>
  <c r="T38" i="4"/>
  <c r="T41" i="4"/>
  <c r="U10" i="4"/>
  <c r="S24" i="4"/>
  <c r="S38" i="4"/>
  <c r="R41" i="4"/>
  <c r="R50" i="4"/>
  <c r="R25" i="4"/>
  <c r="R52" i="4"/>
  <c r="O46" i="4"/>
  <c r="O48" i="4"/>
  <c r="O53" i="4"/>
  <c r="O51" i="4"/>
  <c r="P45" i="4"/>
  <c r="Q44" i="4"/>
  <c r="U34" i="4"/>
  <c r="J11" i="7"/>
  <c r="J13" i="7"/>
  <c r="W18" i="4"/>
  <c r="W10" i="4"/>
  <c r="U23" i="4"/>
  <c r="U19" i="4"/>
  <c r="V10" i="4"/>
  <c r="S41" i="4"/>
  <c r="S50" i="4"/>
  <c r="T50" i="4"/>
  <c r="S25" i="4"/>
  <c r="S52" i="4"/>
  <c r="T25" i="4"/>
  <c r="T52" i="4"/>
  <c r="P46" i="4"/>
  <c r="P48" i="4"/>
  <c r="P53" i="4"/>
  <c r="P51" i="4"/>
  <c r="R44" i="4"/>
  <c r="Q45" i="4"/>
  <c r="L11" i="7"/>
  <c r="J20" i="7"/>
  <c r="L12" i="7"/>
  <c r="W34" i="4"/>
  <c r="V23" i="4"/>
  <c r="V19" i="4"/>
  <c r="W23" i="4"/>
  <c r="W19" i="4"/>
  <c r="V34" i="4"/>
  <c r="U24" i="4"/>
  <c r="U38" i="4"/>
  <c r="Q53" i="4"/>
  <c r="Q51" i="4"/>
  <c r="Q46" i="4"/>
  <c r="Q48" i="4"/>
  <c r="S44" i="4"/>
  <c r="R45" i="4"/>
  <c r="J15" i="7"/>
  <c r="N20" i="7"/>
  <c r="U50" i="4"/>
  <c r="U41" i="4"/>
  <c r="W24" i="4"/>
  <c r="W38" i="4"/>
  <c r="V24" i="4"/>
  <c r="V38" i="4"/>
  <c r="U25" i="4"/>
  <c r="U52" i="4"/>
  <c r="T44" i="4"/>
  <c r="S45" i="4"/>
  <c r="R53" i="4"/>
  <c r="R51" i="4"/>
  <c r="R46" i="4"/>
  <c r="R48" i="4"/>
  <c r="W25" i="4"/>
  <c r="W52" i="4"/>
  <c r="V41" i="4"/>
  <c r="V50" i="4"/>
  <c r="W41" i="4"/>
  <c r="W50" i="4"/>
  <c r="V25" i="4"/>
  <c r="V52" i="4"/>
  <c r="T45" i="4"/>
  <c r="U44" i="4"/>
  <c r="S51" i="4"/>
  <c r="S46" i="4"/>
  <c r="S48" i="4"/>
  <c r="S53" i="4"/>
  <c r="T46" i="4"/>
  <c r="T48" i="4"/>
  <c r="T53" i="4"/>
  <c r="T51" i="4"/>
  <c r="V44" i="4"/>
  <c r="U45" i="4"/>
  <c r="W44" i="4"/>
  <c r="W45" i="4"/>
  <c r="J21" i="7"/>
  <c r="J22" i="7"/>
  <c r="V45" i="4"/>
  <c r="U53" i="4"/>
  <c r="U46" i="4"/>
  <c r="U48" i="4"/>
  <c r="U51" i="4"/>
  <c r="L21" i="7"/>
  <c r="J26" i="7"/>
  <c r="L20" i="7"/>
  <c r="J25" i="7"/>
  <c r="W51" i="4"/>
  <c r="W46" i="4"/>
  <c r="W48" i="4"/>
  <c r="W53" i="4"/>
  <c r="V46" i="4"/>
  <c r="V48" i="4"/>
  <c r="V51" i="4"/>
  <c r="V53" i="4"/>
  <c r="T18" i="4"/>
  <c r="T19" i="4"/>
  <c r="J28" i="7"/>
  <c r="J34" i="7"/>
  <c r="J39" i="7"/>
  <c r="J43" i="7"/>
  <c r="J47" i="7"/>
  <c r="J55" i="7"/>
  <c r="J61" i="7"/>
  <c r="H97" i="4"/>
  <c r="J57" i="7"/>
  <c r="M93" i="4"/>
  <c r="I93" i="4"/>
  <c r="U93" i="4"/>
  <c r="Q93" i="4"/>
  <c r="L93" i="4"/>
  <c r="W93" i="4"/>
  <c r="R93" i="4"/>
  <c r="O93" i="4"/>
  <c r="N93" i="4"/>
  <c r="V93" i="4"/>
  <c r="H93" i="4"/>
  <c r="P93" i="4"/>
  <c r="J93" i="4"/>
  <c r="K93" i="4"/>
  <c r="S93" i="4"/>
  <c r="T93" i="4"/>
  <c r="H94" i="4"/>
</calcChain>
</file>

<file path=xl/sharedStrings.xml><?xml version="1.0" encoding="utf-8"?>
<sst xmlns="http://schemas.openxmlformats.org/spreadsheetml/2006/main" count="271" uniqueCount="226">
  <si>
    <t>Mortgage</t>
  </si>
  <si>
    <t>Maintenance</t>
  </si>
  <si>
    <t>Insurance</t>
  </si>
  <si>
    <t>month</t>
  </si>
  <si>
    <t>Forecast</t>
  </si>
  <si>
    <t>Income Statement</t>
  </si>
  <si>
    <t>Total Revenue</t>
  </si>
  <si>
    <t>Utility Expense</t>
  </si>
  <si>
    <t>Depreciation Expense</t>
  </si>
  <si>
    <t>Total Expenses</t>
  </si>
  <si>
    <t>Net Income Before-Tax</t>
  </si>
  <si>
    <t>Less Income Tax</t>
  </si>
  <si>
    <t>Net Income After-Tax</t>
  </si>
  <si>
    <t>Assets</t>
  </si>
  <si>
    <t>A/R</t>
  </si>
  <si>
    <t>Total Assets</t>
  </si>
  <si>
    <t>Liabilities and Equity</t>
  </si>
  <si>
    <t>Liabilities</t>
  </si>
  <si>
    <t>Bank Loan</t>
  </si>
  <si>
    <t>Total Liabilities</t>
  </si>
  <si>
    <t>Total Equity</t>
  </si>
  <si>
    <t>Total Liabilites and Equity</t>
  </si>
  <si>
    <t>DFN</t>
  </si>
  <si>
    <t>Current Ratio</t>
  </si>
  <si>
    <t>Debt to Equity</t>
  </si>
  <si>
    <t>ROA</t>
  </si>
  <si>
    <t>ROE</t>
  </si>
  <si>
    <t>For Years Ended 2013-2016</t>
  </si>
  <si>
    <t>Rent/month</t>
  </si>
  <si>
    <t>Months Rented</t>
  </si>
  <si>
    <t>Apartments rented</t>
  </si>
  <si>
    <t>Increases 3% yr</t>
  </si>
  <si>
    <t>yr for empty rooms</t>
  </si>
  <si>
    <t>*Empty apartment allowance</t>
  </si>
  <si>
    <t>3,600 sq. ft total</t>
  </si>
  <si>
    <t>2 car garages for every apartment</t>
  </si>
  <si>
    <t>Maintenance Expenses</t>
  </si>
  <si>
    <t>all maintenance performed by owner to save money</t>
  </si>
  <si>
    <t>months</t>
  </si>
  <si>
    <t>Insurance Exp</t>
  </si>
  <si>
    <t>For all apartments</t>
  </si>
  <si>
    <t>yr</t>
  </si>
  <si>
    <t>Utility Exp</t>
  </si>
  <si>
    <t>Building</t>
  </si>
  <si>
    <t>Depreciation</t>
  </si>
  <si>
    <t>Down payment</t>
  </si>
  <si>
    <t>closing costs</t>
  </si>
  <si>
    <t>total loan</t>
  </si>
  <si>
    <t xml:space="preserve">Pmt </t>
  </si>
  <si>
    <t xml:space="preserve">Principal </t>
  </si>
  <si>
    <t xml:space="preserve">Interest </t>
  </si>
  <si>
    <t xml:space="preserve">Cum Prin </t>
  </si>
  <si>
    <t xml:space="preserve">Cum Int </t>
  </si>
  <si>
    <t>Prin Bal</t>
  </si>
  <si>
    <t>Bank Loan Interest</t>
  </si>
  <si>
    <t>Mortgage Interest Expense</t>
  </si>
  <si>
    <t>Rental Revenue</t>
  </si>
  <si>
    <t>Operating Expenses</t>
  </si>
  <si>
    <t>Operating Revenue</t>
  </si>
  <si>
    <t>Operating Profit</t>
  </si>
  <si>
    <t>Summary</t>
  </si>
  <si>
    <t xml:space="preserve">*These results are estimates which do not account for accumulated error of payments being rounded to the nearest cent. See the amortization schedule for more accurate values. </t>
  </si>
  <si>
    <t xml:space="preserve">Principal borrowed: </t>
  </si>
  <si>
    <t xml:space="preserve">Regular Payment amount: </t>
  </si>
  <si>
    <t xml:space="preserve">Final Balloon Payment: </t>
  </si>
  <si>
    <t xml:space="preserve">Interest-only payment: </t>
  </si>
  <si>
    <t xml:space="preserve">*Total Repaid: </t>
  </si>
  <si>
    <t xml:space="preserve">*Total Interest Paid: </t>
  </si>
  <si>
    <t xml:space="preserve">Annual Payments: </t>
  </si>
  <si>
    <t xml:space="preserve">Total Payments: </t>
  </si>
  <si>
    <t xml:space="preserve"> (30.08 years)</t>
  </si>
  <si>
    <t xml:space="preserve">Annual interest rate: </t>
  </si>
  <si>
    <t xml:space="preserve">Periodic interest rate: </t>
  </si>
  <si>
    <t xml:space="preserve">*Total interest paid as a </t>
  </si>
  <si>
    <t xml:space="preserve">percentage of Principal: </t>
  </si>
  <si>
    <t>*These results are estimates which do not account for accumulated error of payments being rounded to the nearest cent. See the amortization schedule for more accurate values.</t>
  </si>
  <si>
    <t>Other Expenses</t>
  </si>
  <si>
    <t>Total Other Expenses</t>
  </si>
  <si>
    <t>Property Tax Expense</t>
  </si>
  <si>
    <t>Income Tax Rate</t>
  </si>
  <si>
    <t>Property Tax Exp</t>
  </si>
  <si>
    <t>years</t>
  </si>
  <si>
    <t>Value of property to depreciate</t>
  </si>
  <si>
    <t>Salvage Value</t>
  </si>
  <si>
    <t>Must keep $5,000 cash at all times</t>
  </si>
  <si>
    <t>Due the 1st of the month for the upcoming month</t>
  </si>
  <si>
    <t>Late fees:</t>
  </si>
  <si>
    <t>day late</t>
  </si>
  <si>
    <t>total revenues are late</t>
  </si>
  <si>
    <t>Apartment Building</t>
  </si>
  <si>
    <t>Deferred Income Tax Payable</t>
  </si>
  <si>
    <t>Equity</t>
  </si>
  <si>
    <t>Owner's Equity</t>
  </si>
  <si>
    <t>R/E</t>
  </si>
  <si>
    <t>Down payment on building</t>
  </si>
  <si>
    <t>Bank Loan Rate</t>
  </si>
  <si>
    <t>http://bretwhissel.net/cgi-bin/amortize</t>
  </si>
  <si>
    <t>Yr 0- closing costs</t>
  </si>
  <si>
    <t>CSDL, LLC</t>
  </si>
  <si>
    <t>increase</t>
  </si>
  <si>
    <t>Paul Avenue</t>
  </si>
  <si>
    <t>rent:</t>
  </si>
  <si>
    <t>no garage</t>
  </si>
  <si>
    <t>Will continue to expand because of Areva, so rent will increase slightly every year, rather than decrease.  A similar housing complex in the same neighborhood has continued to increase rent for the past three years even during the national economic downturn.</t>
  </si>
  <si>
    <t>Comparable apartment in Idaho Falls:</t>
  </si>
  <si>
    <t>Managed by owner</t>
  </si>
  <si>
    <t>Insurance exp: 3 year average from comparable apartment</t>
  </si>
  <si>
    <t>Depreciation: 30 years, straightline, salvage value of $30,000</t>
  </si>
  <si>
    <t>Keep cash at $5,000 at all times</t>
  </si>
  <si>
    <t>Utility Exp: 3 year average from comparable apartment for empty rooms.  We figured 11.5 months in our rental price a month due to the time accumulated throughout the years of renters moving out and new ones coming in.</t>
  </si>
  <si>
    <t>Income Tax Rate: 35%</t>
  </si>
  <si>
    <t>Late fees: Rent is due the 1st of the month with a $25 charge for each day it is late. We decided that 5% of the rent revenue would be late. Thus we would have an average of 5% A/R at the end of every year, and also late fee revenue would be 18.25 days * $25/day.</t>
  </si>
  <si>
    <t>Late Fee Revenue</t>
  </si>
  <si>
    <t>Rent increase 3% a year due to the expected inflation and demand for housing in Idaho Falls</t>
  </si>
  <si>
    <t>Down payment on four-plex: $25,000</t>
  </si>
  <si>
    <t>What can we do to avoid having negative net income in 2012? Less down payment?</t>
  </si>
  <si>
    <t>All maintenance performed by owner to save money/ Numbers from 3 year average from comparable apartment.  It avoids labor costs and increases 3% a year.</t>
  </si>
  <si>
    <t>United States Inflation Rate</t>
  </si>
  <si>
    <t xml:space="preserve">The inflation rate in the United States was recorded at 2.30 percent in April of 2012. Historically, from 1914 until 2012, the United States Inflation Rate averaged 3.3700 </t>
  </si>
  <si>
    <t xml:space="preserve"> found at http://www.tradingeconomics.com/united-states/inflation-cpi</t>
  </si>
  <si>
    <t>2 car garage for every apartment in this complex</t>
  </si>
  <si>
    <t>Mortgage rate found by calling three banks/credit unions on non-owner occupied housing loans</t>
  </si>
  <si>
    <t>6.5% from mortgage calculators on their websites</t>
  </si>
  <si>
    <t>Called local 3 lending institutions</t>
  </si>
  <si>
    <t>Closing costs: based upon 4% of the loan from advice from officer</t>
  </si>
  <si>
    <t>decided on 3%</t>
  </si>
  <si>
    <t>collect 3 days of interest and upfront 12 months homeowner insurance</t>
  </si>
  <si>
    <t>2 months property tax</t>
  </si>
  <si>
    <t>Apartment address we are looking at-1430 Jefferson Avenue, Idaho Falls, Idaho,  $239,000</t>
  </si>
  <si>
    <t>How much would we borrow?</t>
  </si>
  <si>
    <t>20% down payment required- chose to have 220,000 loan</t>
  </si>
  <si>
    <t>WACC- investors like to see ??% return? REITS return: average found from dividentyieldhunter.com --4.825% return</t>
  </si>
  <si>
    <t>Property tax: 3 yr ave from comparable apartment and also 1.2% average property tax rate found idaho tax comission website for the state of idaho. On Bonneville County Website, 1.4% for every $1000-about $3,400</t>
  </si>
  <si>
    <t>Building cost on our books is 247800 with closing costs included</t>
  </si>
  <si>
    <t>Extra bank loan to cover costs that we couldn't fund from investors: rate - 4% from local banks</t>
  </si>
  <si>
    <t>10 year T Bill rate</t>
  </si>
  <si>
    <t>WACC</t>
  </si>
  <si>
    <t>CAPM</t>
  </si>
  <si>
    <t>Projected Return of T-Bills</t>
  </si>
  <si>
    <t xml:space="preserve">Projected Return of S&amp;P 500 </t>
  </si>
  <si>
    <t>Risk Premium of S&amp;P 500</t>
  </si>
  <si>
    <t>Cost of Equity</t>
  </si>
  <si>
    <t xml:space="preserve">Cost of Debt </t>
  </si>
  <si>
    <t>Proportion</t>
  </si>
  <si>
    <t>Cost/Int Rate</t>
  </si>
  <si>
    <t>Mortgage on Buildings</t>
  </si>
  <si>
    <t>Bank Loans</t>
  </si>
  <si>
    <t>Current Cost of Debt</t>
  </si>
  <si>
    <t>Tax Rate</t>
  </si>
  <si>
    <t>Proportions of Debt and Equity</t>
  </si>
  <si>
    <t>Debt</t>
  </si>
  <si>
    <t>Current Beta</t>
  </si>
  <si>
    <t>Proportion of Debt</t>
  </si>
  <si>
    <t>Proportion of Equity</t>
  </si>
  <si>
    <t>RELEVERED BETA</t>
  </si>
  <si>
    <t>Original Beta</t>
  </si>
  <si>
    <t>New Debt to Equity</t>
  </si>
  <si>
    <t>Unlevered Beta = Regular Beta / ( 1 + (1- tax rate)(D/E))</t>
  </si>
  <si>
    <t>Unlevered Beta</t>
  </si>
  <si>
    <t>Relevered Beta = [1 + (1- tax rate)(D/E)]*Unlevered Beta</t>
  </si>
  <si>
    <t>Relevered Beta</t>
  </si>
  <si>
    <t>NEW WACC</t>
  </si>
  <si>
    <t>CAPM to determine the return (cost) for equity holders</t>
  </si>
  <si>
    <t>Projected return of T-Bills</t>
  </si>
  <si>
    <t xml:space="preserve">Projected return of S&amp;P 500 </t>
  </si>
  <si>
    <t>Risk Premium (Spread) of S&amp;P 500</t>
  </si>
  <si>
    <t>New Beta 80/20 Equity Holders Cost</t>
  </si>
  <si>
    <t>S&amp;P Return</t>
  </si>
  <si>
    <t>(Bloomberg.com)</t>
  </si>
  <si>
    <t>ACC</t>
  </si>
  <si>
    <t>ESS</t>
  </si>
  <si>
    <t>HME</t>
  </si>
  <si>
    <t>IRC</t>
  </si>
  <si>
    <t>UMH</t>
  </si>
  <si>
    <t>ELS</t>
  </si>
  <si>
    <t>http://www.google.com/finance?q=INDEXSP:.INX</t>
  </si>
  <si>
    <t>Average</t>
  </si>
  <si>
    <t>New Beta (60/40 Co)</t>
  </si>
  <si>
    <t>Observed Beta</t>
  </si>
  <si>
    <t>Cash flows from Operations</t>
  </si>
  <si>
    <t>Operating Costs</t>
  </si>
  <si>
    <t>Income from Operations</t>
  </si>
  <si>
    <t>Taxable Operating Income</t>
  </si>
  <si>
    <t>Less: Income Tax</t>
  </si>
  <si>
    <t>Add back: Depreciation</t>
  </si>
  <si>
    <t>Net Cash Income from Operations</t>
  </si>
  <si>
    <t>Cash Flows from Changes in Working Capital</t>
  </si>
  <si>
    <t>-</t>
  </si>
  <si>
    <t>+</t>
  </si>
  <si>
    <t>Taxes Payable</t>
  </si>
  <si>
    <t>Minimum Cash Balance</t>
  </si>
  <si>
    <t>Cash Flows from Liquidating Working Capital</t>
  </si>
  <si>
    <t>Cash Flows from Capital Expenditures</t>
  </si>
  <si>
    <t>Salvage</t>
  </si>
  <si>
    <t>Tax from Salvage</t>
  </si>
  <si>
    <t>Total Free Cash flows</t>
  </si>
  <si>
    <t>PV of Free Cash Flows</t>
  </si>
  <si>
    <t>NPV</t>
  </si>
  <si>
    <t>IRR</t>
  </si>
  <si>
    <t>Less: Depreciation</t>
  </si>
  <si>
    <t>.</t>
  </si>
  <si>
    <t>We are assuming Idaho Falls' market value for commercial housing will rise 3% every year based on historic trends</t>
  </si>
  <si>
    <t>Year 0</t>
  </si>
  <si>
    <t xml:space="preserve"> Cost </t>
  </si>
  <si>
    <t xml:space="preserve"> -A/D </t>
  </si>
  <si>
    <t xml:space="preserve"> BV </t>
  </si>
  <si>
    <t xml:space="preserve"> Sold </t>
  </si>
  <si>
    <t>NPER</t>
  </si>
  <si>
    <t>WACC-Discount Rate</t>
  </si>
  <si>
    <t>PMT</t>
  </si>
  <si>
    <t>Interest</t>
  </si>
  <si>
    <t>Amort</t>
  </si>
  <si>
    <t>PMT-year</t>
  </si>
  <si>
    <t>Cash Above Minimum</t>
  </si>
  <si>
    <t>Average of Residential REITS</t>
  </si>
  <si>
    <t>D/E Ratio</t>
  </si>
  <si>
    <t>The Amortization table found on the site at right didn't go for as many years as necessary for this forecast so we created our own:</t>
  </si>
  <si>
    <t>Principal</t>
  </si>
  <si>
    <t>The table below was found on the bretwhissel.net site</t>
  </si>
  <si>
    <t>Less Acc. Depreciation</t>
  </si>
  <si>
    <t>Days late/yr</t>
  </si>
  <si>
    <t>Deprec/Yr</t>
  </si>
  <si>
    <t>--&gt;equity</t>
  </si>
  <si>
    <t>A/R at all times</t>
  </si>
  <si>
    <t>Check Figures</t>
  </si>
  <si>
    <t xml:space="preserve"> Gain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</si>
</sst>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.00_);_(\$* \(#,##0.00\);_(\$* \-??_);_(@_)"/>
    <numFmt numFmtId="165" formatCode="_(\$* #,##0_);_(\$* \(#,##0\);_(\$* \-??_);_(@_)"/>
    <numFmt numFmtId="166" formatCode="_(* #,##0_);_(* \(#,##0\);_(* &quot;-&quot;??_);_(@_)"/>
    <numFmt numFmtId="167" formatCode="_(* #,##0.00_);_(* \(#,##0.00\);_(* \-??_);_(@_)"/>
    <numFmt numFmtId="168" formatCode="_(* #,##0_);_(* \(#,##0\);_(* \-??_);_(@_)"/>
    <numFmt numFmtId="169" formatCode="_(&quot;$&quot;* #,##0_);_(&quot;$&quot;* \(#,##0\);_(&quot;$&quot;* &quot;-&quot;??_);_(@_)"/>
    <numFmt numFmtId="170" formatCode="_(&quot;$&quot;* #,##0_);_(&quot;$&quot;* \(#,##0\);_(&quot;$&quot;* &quot;-&quot;?_);_(@_)"/>
    <numFmt numFmtId="171" formatCode="0.0%"/>
    <numFmt numFmtId="172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Calibri"/>
      <family val="1"/>
      <scheme val="minor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0"/>
      <name val="Times New Roman"/>
      <family val="1"/>
    </font>
    <font>
      <b/>
      <u/>
      <sz val="11"/>
      <color rgb="FFFF0000"/>
      <name val="Calibri"/>
      <family val="2"/>
      <scheme val="minor"/>
    </font>
    <font>
      <b/>
      <sz val="13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sz val="8"/>
      <name val="Arial"/>
      <family val="2"/>
    </font>
    <font>
      <b/>
      <u val="singleAccounting"/>
      <sz val="11"/>
      <color indexed="8"/>
      <name val="Calibri"/>
      <family val="2"/>
      <scheme val="minor"/>
    </font>
    <font>
      <i/>
      <sz val="9"/>
      <name val="Calibri"/>
      <family val="2"/>
      <scheme val="minor"/>
    </font>
    <font>
      <i/>
      <u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7" fillId="0" borderId="0"/>
    <xf numFmtId="167" fontId="7" fillId="0" borderId="0"/>
    <xf numFmtId="9" fontId="7" fillId="0" borderId="0"/>
    <xf numFmtId="0" fontId="7" fillId="0" borderId="0"/>
    <xf numFmtId="0" fontId="11" fillId="0" borderId="0"/>
    <xf numFmtId="44" fontId="2" fillId="0" borderId="0" applyFont="0" applyFill="0" applyBorder="0" applyAlignment="0" applyProtection="0"/>
    <xf numFmtId="0" fontId="12" fillId="4" borderId="0" applyNumberFormat="0" applyBorder="0" applyAlignment="0" applyProtection="0"/>
    <xf numFmtId="0" fontId="13" fillId="2" borderId="1" applyNumberFormat="0" applyAlignment="0" applyProtection="0"/>
    <xf numFmtId="0" fontId="14" fillId="3" borderId="1" applyNumberFormat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3" fillId="0" borderId="0" xfId="4" applyFont="1"/>
    <xf numFmtId="0" fontId="5" fillId="0" borderId="0" xfId="4" applyFont="1"/>
    <xf numFmtId="0" fontId="6" fillId="0" borderId="0" xfId="4" applyFont="1"/>
    <xf numFmtId="0" fontId="6" fillId="0" borderId="0" xfId="4" applyFont="1" applyAlignment="1">
      <alignment horizontal="center"/>
    </xf>
    <xf numFmtId="0" fontId="3" fillId="0" borderId="0" xfId="4" applyFont="1" applyAlignment="1">
      <alignment horizontal="left" indent="2"/>
    </xf>
    <xf numFmtId="165" fontId="3" fillId="0" borderId="0" xfId="4" applyNumberFormat="1" applyFont="1"/>
    <xf numFmtId="166" fontId="3" fillId="0" borderId="0" xfId="4" applyNumberFormat="1" applyFont="1"/>
    <xf numFmtId="165" fontId="7" fillId="0" borderId="0" xfId="5" applyNumberFormat="1"/>
    <xf numFmtId="164" fontId="8" fillId="0" borderId="0" xfId="5" applyFont="1"/>
    <xf numFmtId="168" fontId="7" fillId="0" borderId="0" xfId="6" applyNumberFormat="1"/>
    <xf numFmtId="165" fontId="3" fillId="0" borderId="3" xfId="4" applyNumberFormat="1" applyFont="1" applyBorder="1"/>
    <xf numFmtId="167" fontId="7" fillId="0" borderId="0" xfId="6"/>
    <xf numFmtId="0" fontId="3" fillId="0" borderId="0" xfId="4" applyFont="1" applyAlignment="1">
      <alignment horizontal="left" indent="1"/>
    </xf>
    <xf numFmtId="43" fontId="3" fillId="0" borderId="0" xfId="4" applyNumberFormat="1" applyFont="1"/>
    <xf numFmtId="0" fontId="5" fillId="0" borderId="0" xfId="4" applyFont="1" applyBorder="1"/>
    <xf numFmtId="10" fontId="7" fillId="0" borderId="0" xfId="7" applyNumberFormat="1"/>
    <xf numFmtId="0" fontId="9" fillId="0" borderId="0" xfId="4" applyFont="1"/>
    <xf numFmtId="0" fontId="10" fillId="0" borderId="0" xfId="4" applyFont="1"/>
    <xf numFmtId="169" fontId="3" fillId="0" borderId="0" xfId="2" applyNumberFormat="1" applyFont="1"/>
    <xf numFmtId="166" fontId="3" fillId="0" borderId="0" xfId="1" applyNumberFormat="1" applyFont="1"/>
    <xf numFmtId="4" fontId="0" fillId="0" borderId="0" xfId="0" applyNumberFormat="1"/>
    <xf numFmtId="0" fontId="16" fillId="0" borderId="0" xfId="0" applyFont="1" applyAlignment="1">
      <alignment horizontal="center"/>
    </xf>
    <xf numFmtId="165" fontId="3" fillId="0" borderId="2" xfId="4" applyNumberFormat="1" applyFont="1" applyBorder="1"/>
    <xf numFmtId="0" fontId="5" fillId="0" borderId="0" xfId="4" applyFont="1" applyAlignment="1">
      <alignment horizontal="left" indent="1"/>
    </xf>
    <xf numFmtId="0" fontId="17" fillId="0" borderId="0" xfId="0" applyFont="1"/>
    <xf numFmtId="0" fontId="0" fillId="0" borderId="0" xfId="0" applyAlignment="1">
      <alignment wrapText="1"/>
    </xf>
    <xf numFmtId="8" fontId="0" fillId="0" borderId="0" xfId="0" applyNumberFormat="1"/>
    <xf numFmtId="8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0" fontId="18" fillId="0" borderId="0" xfId="0" applyFont="1"/>
    <xf numFmtId="9" fontId="0" fillId="0" borderId="0" xfId="3" applyFont="1" applyAlignment="1">
      <alignment wrapText="1"/>
    </xf>
    <xf numFmtId="9" fontId="3" fillId="0" borderId="0" xfId="3" applyFont="1"/>
    <xf numFmtId="170" fontId="5" fillId="0" borderId="0" xfId="4" applyNumberFormat="1" applyFont="1" applyAlignment="1">
      <alignment horizontal="left" indent="1"/>
    </xf>
    <xf numFmtId="170" fontId="3" fillId="0" borderId="0" xfId="4" applyNumberFormat="1" applyFont="1" applyAlignment="1">
      <alignment horizontal="left" indent="1"/>
    </xf>
    <xf numFmtId="3" fontId="3" fillId="0" borderId="0" xfId="4" applyNumberFormat="1" applyFont="1"/>
    <xf numFmtId="6" fontId="3" fillId="0" borderId="0" xfId="4" applyNumberFormat="1" applyFont="1"/>
    <xf numFmtId="168" fontId="7" fillId="0" borderId="0" xfId="6" applyNumberFormat="1" applyFill="1"/>
    <xf numFmtId="171" fontId="3" fillId="0" borderId="0" xfId="3" applyNumberFormat="1" applyFont="1"/>
    <xf numFmtId="0" fontId="3" fillId="0" borderId="0" xfId="4" applyFont="1" applyAlignment="1">
      <alignment vertical="center" wrapText="1"/>
    </xf>
    <xf numFmtId="0" fontId="4" fillId="0" borderId="0" xfId="4" applyFont="1" applyAlignment="1">
      <alignment horizontal="centerContinuous"/>
    </xf>
    <xf numFmtId="0" fontId="3" fillId="0" borderId="0" xfId="4" applyFont="1" applyAlignment="1">
      <alignment horizontal="centerContinuous" vertical="center" wrapText="1"/>
    </xf>
    <xf numFmtId="169" fontId="7" fillId="0" borderId="0" xfId="2" applyNumberFormat="1" applyFont="1" applyFill="1"/>
    <xf numFmtId="169" fontId="7" fillId="0" borderId="0" xfId="2" applyNumberFormat="1" applyFont="1"/>
    <xf numFmtId="169" fontId="3" fillId="0" borderId="2" xfId="2" applyNumberFormat="1" applyFont="1" applyBorder="1"/>
    <xf numFmtId="9" fontId="3" fillId="0" borderId="0" xfId="4" applyNumberFormat="1" applyFont="1"/>
    <xf numFmtId="0" fontId="19" fillId="0" borderId="0" xfId="4" applyFont="1"/>
    <xf numFmtId="6" fontId="5" fillId="0" borderId="0" xfId="4" applyNumberFormat="1" applyFont="1"/>
    <xf numFmtId="0" fontId="3" fillId="0" borderId="0" xfId="4" applyFont="1" applyFill="1"/>
    <xf numFmtId="0" fontId="20" fillId="0" borderId="0" xfId="0" applyFont="1"/>
    <xf numFmtId="0" fontId="19" fillId="0" borderId="0" xfId="4" applyFont="1" applyAlignment="1">
      <alignment horizontal="left" indent="2"/>
    </xf>
    <xf numFmtId="0" fontId="21" fillId="0" borderId="0" xfId="8" applyFont="1" applyAlignment="1">
      <alignment horizontal="center"/>
    </xf>
    <xf numFmtId="0" fontId="7" fillId="0" borderId="0" xfId="8" applyAlignment="1">
      <alignment horizontal="centerContinuous"/>
    </xf>
    <xf numFmtId="0" fontId="7" fillId="0" borderId="0" xfId="8"/>
    <xf numFmtId="0" fontId="22" fillId="0" borderId="0" xfId="8" applyFont="1"/>
    <xf numFmtId="10" fontId="7" fillId="0" borderId="4" xfId="7" applyNumberFormat="1" applyBorder="1"/>
    <xf numFmtId="10" fontId="7" fillId="0" borderId="0" xfId="7" applyNumberFormat="1" applyFill="1"/>
    <xf numFmtId="165" fontId="7" fillId="0" borderId="0" xfId="7" applyNumberFormat="1"/>
    <xf numFmtId="171" fontId="7" fillId="0" borderId="0" xfId="7" applyNumberFormat="1"/>
    <xf numFmtId="165" fontId="7" fillId="0" borderId="4" xfId="7" applyNumberFormat="1" applyBorder="1"/>
    <xf numFmtId="165" fontId="7" fillId="0" borderId="0" xfId="8" applyNumberFormat="1"/>
    <xf numFmtId="165" fontId="7" fillId="0" borderId="4" xfId="8" applyNumberFormat="1" applyBorder="1"/>
    <xf numFmtId="0" fontId="7" fillId="0" borderId="0" xfId="8" applyBorder="1"/>
    <xf numFmtId="171" fontId="7" fillId="0" borderId="0" xfId="8" applyNumberFormat="1" applyBorder="1"/>
    <xf numFmtId="0" fontId="22" fillId="0" borderId="0" xfId="8" applyFont="1" applyBorder="1"/>
    <xf numFmtId="10" fontId="7" fillId="5" borderId="6" xfId="7" applyNumberFormat="1" applyFill="1" applyBorder="1"/>
    <xf numFmtId="0" fontId="7" fillId="0" borderId="4" xfId="8" applyBorder="1"/>
    <xf numFmtId="0" fontId="22" fillId="0" borderId="0" xfId="8" applyFont="1" applyAlignment="1">
      <alignment horizontal="center"/>
    </xf>
    <xf numFmtId="9" fontId="0" fillId="0" borderId="0" xfId="0" applyNumberFormat="1"/>
    <xf numFmtId="171" fontId="0" fillId="0" borderId="0" xfId="0" applyNumberFormat="1"/>
    <xf numFmtId="0" fontId="23" fillId="0" borderId="0" xfId="0" applyFont="1"/>
    <xf numFmtId="2" fontId="0" fillId="0" borderId="0" xfId="0" applyNumberFormat="1"/>
    <xf numFmtId="2" fontId="0" fillId="0" borderId="0" xfId="0" quotePrefix="1" applyNumberFormat="1"/>
    <xf numFmtId="2" fontId="7" fillId="0" borderId="0" xfId="8" applyNumberFormat="1"/>
    <xf numFmtId="2" fontId="7" fillId="0" borderId="0" xfId="8" applyNumberFormat="1" applyBorder="1"/>
    <xf numFmtId="171" fontId="7" fillId="0" borderId="0" xfId="7" applyNumberFormat="1" applyBorder="1"/>
    <xf numFmtId="10" fontId="3" fillId="0" borderId="0" xfId="3" applyNumberFormat="1" applyFont="1"/>
    <xf numFmtId="0" fontId="24" fillId="0" borderId="0" xfId="18" applyAlignment="1" applyProtection="1"/>
    <xf numFmtId="0" fontId="3" fillId="0" borderId="0" xfId="4" applyFont="1" applyAlignment="1">
      <alignment horizontal="right"/>
    </xf>
    <xf numFmtId="43" fontId="0" fillId="0" borderId="0" xfId="1" applyFont="1"/>
    <xf numFmtId="0" fontId="3" fillId="0" borderId="4" xfId="4" applyFont="1" applyBorder="1"/>
    <xf numFmtId="43" fontId="3" fillId="0" borderId="0" xfId="1" applyFont="1"/>
    <xf numFmtId="43" fontId="20" fillId="0" borderId="0" xfId="1" applyFont="1" applyBorder="1" applyAlignment="1">
      <alignment horizontal="left"/>
    </xf>
    <xf numFmtId="43" fontId="3" fillId="0" borderId="0" xfId="1" applyFont="1" applyFill="1" applyBorder="1" applyAlignment="1"/>
    <xf numFmtId="166" fontId="6" fillId="0" borderId="0" xfId="1" applyNumberFormat="1" applyFont="1" applyAlignment="1">
      <alignment horizontal="center"/>
    </xf>
    <xf numFmtId="166" fontId="7" fillId="0" borderId="0" xfId="1" applyNumberFormat="1" applyFont="1"/>
    <xf numFmtId="166" fontId="3" fillId="0" borderId="0" xfId="1" applyNumberFormat="1" applyFont="1" applyAlignment="1">
      <alignment horizontal="left"/>
    </xf>
    <xf numFmtId="166" fontId="3" fillId="0" borderId="0" xfId="1" applyNumberFormat="1" applyFont="1" applyBorder="1" applyAlignment="1"/>
    <xf numFmtId="166" fontId="5" fillId="0" borderId="0" xfId="1" applyNumberFormat="1" applyFont="1"/>
    <xf numFmtId="166" fontId="20" fillId="0" borderId="0" xfId="1" applyNumberFormat="1" applyFont="1" applyAlignment="1">
      <alignment horizontal="left"/>
    </xf>
    <xf numFmtId="166" fontId="20" fillId="0" borderId="0" xfId="1" applyNumberFormat="1" applyFont="1"/>
    <xf numFmtId="166" fontId="2" fillId="0" borderId="0" xfId="1" applyNumberFormat="1" applyFont="1"/>
    <xf numFmtId="166" fontId="20" fillId="0" borderId="0" xfId="1" applyNumberFormat="1" applyFont="1" applyAlignment="1">
      <alignment horizontal="right"/>
    </xf>
    <xf numFmtId="166" fontId="7" fillId="0" borderId="0" xfId="1" applyNumberFormat="1" applyFont="1" applyAlignment="1">
      <alignment horizontal="center"/>
    </xf>
    <xf numFmtId="166" fontId="3" fillId="0" borderId="5" xfId="1" applyNumberFormat="1" applyFont="1" applyBorder="1"/>
    <xf numFmtId="1" fontId="6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166" fontId="25" fillId="0" borderId="0" xfId="1" applyNumberFormat="1" applyFont="1" applyAlignment="1">
      <alignment horizontal="right"/>
    </xf>
    <xf numFmtId="166" fontId="22" fillId="0" borderId="0" xfId="1" applyNumberFormat="1" applyFont="1"/>
    <xf numFmtId="166" fontId="5" fillId="0" borderId="0" xfId="1" applyNumberFormat="1" applyFont="1" applyAlignment="1">
      <alignment horizontal="left"/>
    </xf>
    <xf numFmtId="166" fontId="3" fillId="0" borderId="0" xfId="1" applyNumberFormat="1" applyFont="1" applyAlignment="1">
      <alignment horizontal="centerContinuous" vertical="center" wrapText="1"/>
    </xf>
    <xf numFmtId="166" fontId="3" fillId="0" borderId="2" xfId="1" applyNumberFormat="1" applyFont="1" applyBorder="1"/>
    <xf numFmtId="166" fontId="7" fillId="0" borderId="4" xfId="1" applyNumberFormat="1" applyFont="1" applyBorder="1"/>
    <xf numFmtId="166" fontId="3" fillId="0" borderId="3" xfId="1" applyNumberFormat="1" applyFont="1" applyBorder="1"/>
    <xf numFmtId="166" fontId="7" fillId="0" borderId="0" xfId="1" applyNumberFormat="1" applyFont="1" applyFill="1"/>
    <xf numFmtId="166" fontId="3" fillId="0" borderId="4" xfId="1" applyNumberFormat="1" applyFont="1" applyBorder="1"/>
    <xf numFmtId="166" fontId="3" fillId="0" borderId="0" xfId="1" applyNumberFormat="1" applyFont="1" applyAlignment="1">
      <alignment horizontal="center"/>
    </xf>
    <xf numFmtId="10" fontId="5" fillId="0" borderId="0" xfId="3" applyNumberFormat="1" applyFont="1" applyAlignment="1">
      <alignment horizontal="right"/>
    </xf>
    <xf numFmtId="166" fontId="5" fillId="0" borderId="0" xfId="4" applyNumberFormat="1" applyFont="1"/>
    <xf numFmtId="0" fontId="6" fillId="0" borderId="0" xfId="1" applyNumberFormat="1" applyFont="1" applyAlignment="1">
      <alignment horizontal="center"/>
    </xf>
    <xf numFmtId="0" fontId="0" fillId="0" borderId="0" xfId="0" applyNumberFormat="1"/>
    <xf numFmtId="166" fontId="0" fillId="0" borderId="0" xfId="1" applyNumberFormat="1" applyFont="1"/>
    <xf numFmtId="0" fontId="0" fillId="0" borderId="0" xfId="1" applyNumberFormat="1" applyFont="1"/>
    <xf numFmtId="0" fontId="20" fillId="0" borderId="0" xfId="0" applyFont="1" applyAlignment="1">
      <alignment horizontal="center"/>
    </xf>
    <xf numFmtId="172" fontId="3" fillId="0" borderId="0" xfId="1" applyNumberFormat="1" applyFont="1"/>
    <xf numFmtId="44" fontId="3" fillId="0" borderId="0" xfId="2" applyFont="1" applyFill="1" applyBorder="1"/>
    <xf numFmtId="171" fontId="7" fillId="0" borderId="0" xfId="3" applyNumberFormat="1" applyFont="1"/>
    <xf numFmtId="10" fontId="7" fillId="0" borderId="0" xfId="3" applyNumberFormat="1" applyFont="1"/>
    <xf numFmtId="0" fontId="22" fillId="0" borderId="4" xfId="8" applyFont="1" applyBorder="1" applyAlignment="1">
      <alignment horizontal="center"/>
    </xf>
    <xf numFmtId="166" fontId="22" fillId="0" borderId="4" xfId="1" applyNumberFormat="1" applyFont="1" applyBorder="1" applyAlignment="1">
      <alignment horizontal="center"/>
    </xf>
    <xf numFmtId="0" fontId="5" fillId="0" borderId="0" xfId="4" applyFont="1" applyAlignment="1">
      <alignment horizontal="center"/>
    </xf>
    <xf numFmtId="0" fontId="20" fillId="0" borderId="0" xfId="1" applyNumberFormat="1" applyFont="1"/>
    <xf numFmtId="0" fontId="20" fillId="0" borderId="0" xfId="0" applyFont="1" applyAlignment="1">
      <alignment horizontal="right"/>
    </xf>
    <xf numFmtId="6" fontId="0" fillId="0" borderId="0" xfId="0" applyNumberFormat="1" applyFont="1" applyAlignment="1">
      <alignment horizontal="right"/>
    </xf>
    <xf numFmtId="44" fontId="3" fillId="0" borderId="0" xfId="2" applyFont="1"/>
    <xf numFmtId="169" fontId="8" fillId="0" borderId="0" xfId="2" applyNumberFormat="1" applyFont="1"/>
    <xf numFmtId="44" fontId="7" fillId="0" borderId="0" xfId="2" applyFont="1"/>
    <xf numFmtId="169" fontId="3" fillId="0" borderId="4" xfId="2" applyNumberFormat="1" applyFont="1" applyBorder="1"/>
    <xf numFmtId="0" fontId="3" fillId="0" borderId="4" xfId="4" quotePrefix="1" applyFont="1" applyBorder="1"/>
    <xf numFmtId="0" fontId="6" fillId="0" borderId="0" xfId="4" applyFont="1" applyAlignment="1">
      <alignment horizontal="right"/>
    </xf>
    <xf numFmtId="164" fontId="26" fillId="0" borderId="0" xfId="5" applyFont="1" applyBorder="1"/>
    <xf numFmtId="166" fontId="27" fillId="0" borderId="0" xfId="4" applyNumberFormat="1" applyFont="1"/>
    <xf numFmtId="169" fontId="3" fillId="0" borderId="5" xfId="2" applyNumberFormat="1" applyFont="1" applyBorder="1"/>
    <xf numFmtId="0" fontId="28" fillId="0" borderId="0" xfId="4" applyFont="1" applyAlignment="1">
      <alignment horizontal="center"/>
    </xf>
    <xf numFmtId="0" fontId="5" fillId="0" borderId="5" xfId="4" applyFont="1" applyBorder="1"/>
    <xf numFmtId="169" fontId="7" fillId="0" borderId="2" xfId="2" applyNumberFormat="1" applyFont="1" applyBorder="1"/>
    <xf numFmtId="169" fontId="3" fillId="0" borderId="3" xfId="2" applyNumberFormat="1" applyFont="1" applyBorder="1"/>
    <xf numFmtId="169" fontId="7" fillId="0" borderId="3" xfId="2" applyNumberFormat="1" applyFont="1" applyBorder="1"/>
    <xf numFmtId="0" fontId="5" fillId="0" borderId="0" xfId="4" applyFont="1" applyAlignment="1">
      <alignment horizontal="center"/>
    </xf>
    <xf numFmtId="0" fontId="0" fillId="0" borderId="0" xfId="0" applyAlignment="1">
      <alignment horizontal="left" wrapText="1"/>
    </xf>
  </cellXfs>
  <cellStyles count="19">
    <cellStyle name="20% - Accent3 2" xfId="11"/>
    <cellStyle name="Calculation 2" xfId="13"/>
    <cellStyle name="Comma" xfId="1" builtinId="3"/>
    <cellStyle name="Comma 2" xfId="6"/>
    <cellStyle name="Comma 3" xfId="15"/>
    <cellStyle name="Currency" xfId="2" builtinId="4"/>
    <cellStyle name="Currency 2" xfId="5"/>
    <cellStyle name="Currency 3" xfId="10"/>
    <cellStyle name="Currency 4" xfId="16"/>
    <cellStyle name="Excel Built-in Normal" xfId="8"/>
    <cellStyle name="Hyperlink" xfId="18" builtinId="8"/>
    <cellStyle name="Input 2" xfId="12"/>
    <cellStyle name="Normal" xfId="0" builtinId="0"/>
    <cellStyle name="Normal 2" xfId="4"/>
    <cellStyle name="Normal 3" xfId="9"/>
    <cellStyle name="Normal 4" xfId="14"/>
    <cellStyle name="Percent" xfId="3" builtinId="5"/>
    <cellStyle name="Percent 2" xfId="7"/>
    <cellStyle name="Percent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google.com/finance?q=INDEXSP:.IN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C42"/>
  <sheetViews>
    <sheetView topLeftCell="A27" workbookViewId="0">
      <selection activeCell="B47" sqref="B47"/>
    </sheetView>
  </sheetViews>
  <sheetFormatPr defaultColWidth="8.85546875" defaultRowHeight="15" x14ac:dyDescent="0.25"/>
  <sheetData>
    <row r="1" spans="1:3" x14ac:dyDescent="0.25">
      <c r="A1" s="49" t="s">
        <v>117</v>
      </c>
    </row>
    <row r="2" spans="1:3" x14ac:dyDescent="0.25">
      <c r="A2" t="s">
        <v>118</v>
      </c>
    </row>
    <row r="3" spans="1:3" x14ac:dyDescent="0.25">
      <c r="A3" t="s">
        <v>119</v>
      </c>
    </row>
    <row r="4" spans="1:3" x14ac:dyDescent="0.25">
      <c r="A4" t="s">
        <v>125</v>
      </c>
    </row>
    <row r="6" spans="1:3" x14ac:dyDescent="0.25">
      <c r="A6" s="2" t="s">
        <v>104</v>
      </c>
    </row>
    <row r="7" spans="1:3" x14ac:dyDescent="0.25">
      <c r="A7" s="1" t="s">
        <v>100</v>
      </c>
    </row>
    <row r="8" spans="1:3" x14ac:dyDescent="0.25">
      <c r="A8" s="1" t="s">
        <v>101</v>
      </c>
      <c r="B8" s="36">
        <v>490</v>
      </c>
      <c r="C8" s="1" t="s">
        <v>3</v>
      </c>
    </row>
    <row r="9" spans="1:3" x14ac:dyDescent="0.25">
      <c r="A9" s="1" t="s">
        <v>102</v>
      </c>
    </row>
    <row r="11" spans="1:3" x14ac:dyDescent="0.25">
      <c r="A11" s="1" t="s">
        <v>103</v>
      </c>
    </row>
    <row r="12" spans="1:3" x14ac:dyDescent="0.25">
      <c r="A12" s="1" t="s">
        <v>128</v>
      </c>
    </row>
    <row r="13" spans="1:3" x14ac:dyDescent="0.25">
      <c r="A13" s="1" t="s">
        <v>120</v>
      </c>
    </row>
    <row r="14" spans="1:3" x14ac:dyDescent="0.25">
      <c r="A14" s="1" t="s">
        <v>116</v>
      </c>
    </row>
    <row r="15" spans="1:3" x14ac:dyDescent="0.25">
      <c r="A15" s="1" t="s">
        <v>105</v>
      </c>
    </row>
    <row r="16" spans="1:3" x14ac:dyDescent="0.25">
      <c r="A16" s="1" t="s">
        <v>110</v>
      </c>
    </row>
    <row r="17" spans="1:1" x14ac:dyDescent="0.25">
      <c r="A17" s="1" t="s">
        <v>106</v>
      </c>
    </row>
    <row r="18" spans="1:1" x14ac:dyDescent="0.25">
      <c r="A18" s="1" t="s">
        <v>132</v>
      </c>
    </row>
    <row r="19" spans="1:1" x14ac:dyDescent="0.25">
      <c r="A19" s="1" t="s">
        <v>107</v>
      </c>
    </row>
    <row r="20" spans="1:1" x14ac:dyDescent="0.25">
      <c r="A20" s="1" t="s">
        <v>108</v>
      </c>
    </row>
    <row r="22" spans="1:1" x14ac:dyDescent="0.25">
      <c r="A22" s="1" t="s">
        <v>109</v>
      </c>
    </row>
    <row r="23" spans="1:1" x14ac:dyDescent="0.25">
      <c r="A23" s="1" t="s">
        <v>111</v>
      </c>
    </row>
    <row r="24" spans="1:1" x14ac:dyDescent="0.25">
      <c r="A24" s="1" t="s">
        <v>113</v>
      </c>
    </row>
    <row r="25" spans="1:1" x14ac:dyDescent="0.25">
      <c r="A25" s="1" t="s">
        <v>114</v>
      </c>
    </row>
    <row r="26" spans="1:1" x14ac:dyDescent="0.25">
      <c r="A26" s="1" t="s">
        <v>131</v>
      </c>
    </row>
    <row r="27" spans="1:1" x14ac:dyDescent="0.25">
      <c r="A27" s="1" t="s">
        <v>115</v>
      </c>
    </row>
    <row r="29" spans="1:1" x14ac:dyDescent="0.25">
      <c r="A29" s="1" t="s">
        <v>121</v>
      </c>
    </row>
    <row r="30" spans="1:1" x14ac:dyDescent="0.25">
      <c r="A30" s="48" t="s">
        <v>123</v>
      </c>
    </row>
    <row r="31" spans="1:1" x14ac:dyDescent="0.25">
      <c r="A31" s="48" t="s">
        <v>122</v>
      </c>
    </row>
    <row r="32" spans="1:1" x14ac:dyDescent="0.25">
      <c r="A32" s="48" t="s">
        <v>124</v>
      </c>
    </row>
    <row r="33" spans="1:1" x14ac:dyDescent="0.25">
      <c r="A33" s="48" t="s">
        <v>130</v>
      </c>
    </row>
    <row r="34" spans="1:1" x14ac:dyDescent="0.25">
      <c r="A34" s="48" t="s">
        <v>126</v>
      </c>
    </row>
    <row r="35" spans="1:1" x14ac:dyDescent="0.25">
      <c r="A35" s="1" t="s">
        <v>97</v>
      </c>
    </row>
    <row r="36" spans="1:1" x14ac:dyDescent="0.25">
      <c r="A36" s="48" t="s">
        <v>127</v>
      </c>
    </row>
    <row r="37" spans="1:1" x14ac:dyDescent="0.25">
      <c r="A37" s="48" t="s">
        <v>129</v>
      </c>
    </row>
    <row r="39" spans="1:1" x14ac:dyDescent="0.25">
      <c r="A39" s="48" t="s">
        <v>133</v>
      </c>
    </row>
    <row r="40" spans="1:1" x14ac:dyDescent="0.25">
      <c r="A40" s="48" t="s">
        <v>134</v>
      </c>
    </row>
    <row r="42" spans="1:1" x14ac:dyDescent="0.25">
      <c r="A42" s="48" t="s">
        <v>201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Z102"/>
  <sheetViews>
    <sheetView tabSelected="1" topLeftCell="E86" zoomScale="80" zoomScaleNormal="80" zoomScalePageLayoutView="80" workbookViewId="0">
      <selection activeCell="I98" sqref="I98"/>
    </sheetView>
  </sheetViews>
  <sheetFormatPr defaultColWidth="8.85546875" defaultRowHeight="15" outlineLevelCol="1" x14ac:dyDescent="0.25"/>
  <cols>
    <col min="1" max="1" width="17.140625" style="1" hidden="1" customWidth="1" outlineLevel="1"/>
    <col min="2" max="2" width="11.7109375" style="1" hidden="1" customWidth="1" outlineLevel="1"/>
    <col min="3" max="4" width="11.42578125" style="1" hidden="1" customWidth="1" outlineLevel="1"/>
    <col min="5" max="5" width="3.140625" style="1" customWidth="1" collapsed="1"/>
    <col min="6" max="6" width="25.7109375" style="1" customWidth="1"/>
    <col min="7" max="7" width="4.7109375" style="1" customWidth="1"/>
    <col min="8" max="8" width="10.28515625" style="1" bestFit="1" customWidth="1"/>
    <col min="9" max="11" width="10.7109375" style="1" bestFit="1" customWidth="1"/>
    <col min="12" max="12" width="10.7109375" style="20" customWidth="1"/>
    <col min="13" max="23" width="10.7109375" style="1" bestFit="1" customWidth="1"/>
    <col min="24" max="24" width="11.42578125" style="1" customWidth="1"/>
    <col min="25" max="25" width="11.42578125" style="1" bestFit="1" customWidth="1"/>
    <col min="26" max="26" width="10.7109375" style="1" bestFit="1" customWidth="1"/>
    <col min="27" max="257" width="8.85546875" style="1"/>
    <col min="258" max="258" width="17.140625" style="1" customWidth="1"/>
    <col min="259" max="259" width="11.7109375" style="1" customWidth="1"/>
    <col min="260" max="260" width="9.140625" style="1" customWidth="1"/>
    <col min="261" max="261" width="11.42578125" style="1" customWidth="1"/>
    <col min="262" max="262" width="1.85546875" style="1" customWidth="1"/>
    <col min="263" max="263" width="23.85546875" style="1" customWidth="1"/>
    <col min="264" max="264" width="2.42578125" style="1" customWidth="1"/>
    <col min="265" max="265" width="14" style="1" customWidth="1"/>
    <col min="266" max="266" width="12.42578125" style="1" bestFit="1" customWidth="1"/>
    <col min="267" max="267" width="10.85546875" style="1" customWidth="1"/>
    <col min="268" max="268" width="10.7109375" style="1" customWidth="1"/>
    <col min="269" max="513" width="8.85546875" style="1"/>
    <col min="514" max="514" width="17.140625" style="1" customWidth="1"/>
    <col min="515" max="515" width="11.7109375" style="1" customWidth="1"/>
    <col min="516" max="516" width="9.140625" style="1" customWidth="1"/>
    <col min="517" max="517" width="11.42578125" style="1" customWidth="1"/>
    <col min="518" max="518" width="1.85546875" style="1" customWidth="1"/>
    <col min="519" max="519" width="23.85546875" style="1" customWidth="1"/>
    <col min="520" max="520" width="2.42578125" style="1" customWidth="1"/>
    <col min="521" max="521" width="14" style="1" customWidth="1"/>
    <col min="522" max="522" width="12.42578125" style="1" bestFit="1" customWidth="1"/>
    <col min="523" max="523" width="10.85546875" style="1" customWidth="1"/>
    <col min="524" max="524" width="10.7109375" style="1" customWidth="1"/>
    <col min="525" max="769" width="8.85546875" style="1"/>
    <col min="770" max="770" width="17.140625" style="1" customWidth="1"/>
    <col min="771" max="771" width="11.7109375" style="1" customWidth="1"/>
    <col min="772" max="772" width="9.140625" style="1" customWidth="1"/>
    <col min="773" max="773" width="11.42578125" style="1" customWidth="1"/>
    <col min="774" max="774" width="1.85546875" style="1" customWidth="1"/>
    <col min="775" max="775" width="23.85546875" style="1" customWidth="1"/>
    <col min="776" max="776" width="2.42578125" style="1" customWidth="1"/>
    <col min="777" max="777" width="14" style="1" customWidth="1"/>
    <col min="778" max="778" width="12.42578125" style="1" bestFit="1" customWidth="1"/>
    <col min="779" max="779" width="10.85546875" style="1" customWidth="1"/>
    <col min="780" max="780" width="10.7109375" style="1" customWidth="1"/>
    <col min="781" max="1025" width="8.85546875" style="1"/>
    <col min="1026" max="1026" width="17.140625" style="1" customWidth="1"/>
    <col min="1027" max="1027" width="11.7109375" style="1" customWidth="1"/>
    <col min="1028" max="1028" width="9.140625" style="1" customWidth="1"/>
    <col min="1029" max="1029" width="11.42578125" style="1" customWidth="1"/>
    <col min="1030" max="1030" width="1.85546875" style="1" customWidth="1"/>
    <col min="1031" max="1031" width="23.85546875" style="1" customWidth="1"/>
    <col min="1032" max="1032" width="2.42578125" style="1" customWidth="1"/>
    <col min="1033" max="1033" width="14" style="1" customWidth="1"/>
    <col min="1034" max="1034" width="12.42578125" style="1" bestFit="1" customWidth="1"/>
    <col min="1035" max="1035" width="10.85546875" style="1" customWidth="1"/>
    <col min="1036" max="1036" width="10.7109375" style="1" customWidth="1"/>
    <col min="1037" max="1281" width="8.85546875" style="1"/>
    <col min="1282" max="1282" width="17.140625" style="1" customWidth="1"/>
    <col min="1283" max="1283" width="11.7109375" style="1" customWidth="1"/>
    <col min="1284" max="1284" width="9.140625" style="1" customWidth="1"/>
    <col min="1285" max="1285" width="11.42578125" style="1" customWidth="1"/>
    <col min="1286" max="1286" width="1.85546875" style="1" customWidth="1"/>
    <col min="1287" max="1287" width="23.85546875" style="1" customWidth="1"/>
    <col min="1288" max="1288" width="2.42578125" style="1" customWidth="1"/>
    <col min="1289" max="1289" width="14" style="1" customWidth="1"/>
    <col min="1290" max="1290" width="12.42578125" style="1" bestFit="1" customWidth="1"/>
    <col min="1291" max="1291" width="10.85546875" style="1" customWidth="1"/>
    <col min="1292" max="1292" width="10.7109375" style="1" customWidth="1"/>
    <col min="1293" max="1537" width="8.85546875" style="1"/>
    <col min="1538" max="1538" width="17.140625" style="1" customWidth="1"/>
    <col min="1539" max="1539" width="11.7109375" style="1" customWidth="1"/>
    <col min="1540" max="1540" width="9.140625" style="1" customWidth="1"/>
    <col min="1541" max="1541" width="11.42578125" style="1" customWidth="1"/>
    <col min="1542" max="1542" width="1.85546875" style="1" customWidth="1"/>
    <col min="1543" max="1543" width="23.85546875" style="1" customWidth="1"/>
    <col min="1544" max="1544" width="2.42578125" style="1" customWidth="1"/>
    <col min="1545" max="1545" width="14" style="1" customWidth="1"/>
    <col min="1546" max="1546" width="12.42578125" style="1" bestFit="1" customWidth="1"/>
    <col min="1547" max="1547" width="10.85546875" style="1" customWidth="1"/>
    <col min="1548" max="1548" width="10.7109375" style="1" customWidth="1"/>
    <col min="1549" max="1793" width="8.85546875" style="1"/>
    <col min="1794" max="1794" width="17.140625" style="1" customWidth="1"/>
    <col min="1795" max="1795" width="11.7109375" style="1" customWidth="1"/>
    <col min="1796" max="1796" width="9.140625" style="1" customWidth="1"/>
    <col min="1797" max="1797" width="11.42578125" style="1" customWidth="1"/>
    <col min="1798" max="1798" width="1.85546875" style="1" customWidth="1"/>
    <col min="1799" max="1799" width="23.85546875" style="1" customWidth="1"/>
    <col min="1800" max="1800" width="2.42578125" style="1" customWidth="1"/>
    <col min="1801" max="1801" width="14" style="1" customWidth="1"/>
    <col min="1802" max="1802" width="12.42578125" style="1" bestFit="1" customWidth="1"/>
    <col min="1803" max="1803" width="10.85546875" style="1" customWidth="1"/>
    <col min="1804" max="1804" width="10.7109375" style="1" customWidth="1"/>
    <col min="1805" max="2049" width="8.85546875" style="1"/>
    <col min="2050" max="2050" width="17.140625" style="1" customWidth="1"/>
    <col min="2051" max="2051" width="11.7109375" style="1" customWidth="1"/>
    <col min="2052" max="2052" width="9.140625" style="1" customWidth="1"/>
    <col min="2053" max="2053" width="11.42578125" style="1" customWidth="1"/>
    <col min="2054" max="2054" width="1.85546875" style="1" customWidth="1"/>
    <col min="2055" max="2055" width="23.85546875" style="1" customWidth="1"/>
    <col min="2056" max="2056" width="2.42578125" style="1" customWidth="1"/>
    <col min="2057" max="2057" width="14" style="1" customWidth="1"/>
    <col min="2058" max="2058" width="12.42578125" style="1" bestFit="1" customWidth="1"/>
    <col min="2059" max="2059" width="10.85546875" style="1" customWidth="1"/>
    <col min="2060" max="2060" width="10.7109375" style="1" customWidth="1"/>
    <col min="2061" max="2305" width="8.85546875" style="1"/>
    <col min="2306" max="2306" width="17.140625" style="1" customWidth="1"/>
    <col min="2307" max="2307" width="11.7109375" style="1" customWidth="1"/>
    <col min="2308" max="2308" width="9.140625" style="1" customWidth="1"/>
    <col min="2309" max="2309" width="11.42578125" style="1" customWidth="1"/>
    <col min="2310" max="2310" width="1.85546875" style="1" customWidth="1"/>
    <col min="2311" max="2311" width="23.85546875" style="1" customWidth="1"/>
    <col min="2312" max="2312" width="2.42578125" style="1" customWidth="1"/>
    <col min="2313" max="2313" width="14" style="1" customWidth="1"/>
    <col min="2314" max="2314" width="12.42578125" style="1" bestFit="1" customWidth="1"/>
    <col min="2315" max="2315" width="10.85546875" style="1" customWidth="1"/>
    <col min="2316" max="2316" width="10.7109375" style="1" customWidth="1"/>
    <col min="2317" max="2561" width="8.85546875" style="1"/>
    <col min="2562" max="2562" width="17.140625" style="1" customWidth="1"/>
    <col min="2563" max="2563" width="11.7109375" style="1" customWidth="1"/>
    <col min="2564" max="2564" width="9.140625" style="1" customWidth="1"/>
    <col min="2565" max="2565" width="11.42578125" style="1" customWidth="1"/>
    <col min="2566" max="2566" width="1.85546875" style="1" customWidth="1"/>
    <col min="2567" max="2567" width="23.85546875" style="1" customWidth="1"/>
    <col min="2568" max="2568" width="2.42578125" style="1" customWidth="1"/>
    <col min="2569" max="2569" width="14" style="1" customWidth="1"/>
    <col min="2570" max="2570" width="12.42578125" style="1" bestFit="1" customWidth="1"/>
    <col min="2571" max="2571" width="10.85546875" style="1" customWidth="1"/>
    <col min="2572" max="2572" width="10.7109375" style="1" customWidth="1"/>
    <col min="2573" max="2817" width="8.85546875" style="1"/>
    <col min="2818" max="2818" width="17.140625" style="1" customWidth="1"/>
    <col min="2819" max="2819" width="11.7109375" style="1" customWidth="1"/>
    <col min="2820" max="2820" width="9.140625" style="1" customWidth="1"/>
    <col min="2821" max="2821" width="11.42578125" style="1" customWidth="1"/>
    <col min="2822" max="2822" width="1.85546875" style="1" customWidth="1"/>
    <col min="2823" max="2823" width="23.85546875" style="1" customWidth="1"/>
    <col min="2824" max="2824" width="2.42578125" style="1" customWidth="1"/>
    <col min="2825" max="2825" width="14" style="1" customWidth="1"/>
    <col min="2826" max="2826" width="12.42578125" style="1" bestFit="1" customWidth="1"/>
    <col min="2827" max="2827" width="10.85546875" style="1" customWidth="1"/>
    <col min="2828" max="2828" width="10.7109375" style="1" customWidth="1"/>
    <col min="2829" max="3073" width="8.85546875" style="1"/>
    <col min="3074" max="3074" width="17.140625" style="1" customWidth="1"/>
    <col min="3075" max="3075" width="11.7109375" style="1" customWidth="1"/>
    <col min="3076" max="3076" width="9.140625" style="1" customWidth="1"/>
    <col min="3077" max="3077" width="11.42578125" style="1" customWidth="1"/>
    <col min="3078" max="3078" width="1.85546875" style="1" customWidth="1"/>
    <col min="3079" max="3079" width="23.85546875" style="1" customWidth="1"/>
    <col min="3080" max="3080" width="2.42578125" style="1" customWidth="1"/>
    <col min="3081" max="3081" width="14" style="1" customWidth="1"/>
    <col min="3082" max="3082" width="12.42578125" style="1" bestFit="1" customWidth="1"/>
    <col min="3083" max="3083" width="10.85546875" style="1" customWidth="1"/>
    <col min="3084" max="3084" width="10.7109375" style="1" customWidth="1"/>
    <col min="3085" max="3329" width="8.85546875" style="1"/>
    <col min="3330" max="3330" width="17.140625" style="1" customWidth="1"/>
    <col min="3331" max="3331" width="11.7109375" style="1" customWidth="1"/>
    <col min="3332" max="3332" width="9.140625" style="1" customWidth="1"/>
    <col min="3333" max="3333" width="11.42578125" style="1" customWidth="1"/>
    <col min="3334" max="3334" width="1.85546875" style="1" customWidth="1"/>
    <col min="3335" max="3335" width="23.85546875" style="1" customWidth="1"/>
    <col min="3336" max="3336" width="2.42578125" style="1" customWidth="1"/>
    <col min="3337" max="3337" width="14" style="1" customWidth="1"/>
    <col min="3338" max="3338" width="12.42578125" style="1" bestFit="1" customWidth="1"/>
    <col min="3339" max="3339" width="10.85546875" style="1" customWidth="1"/>
    <col min="3340" max="3340" width="10.7109375" style="1" customWidth="1"/>
    <col min="3341" max="3585" width="8.85546875" style="1"/>
    <col min="3586" max="3586" width="17.140625" style="1" customWidth="1"/>
    <col min="3587" max="3587" width="11.7109375" style="1" customWidth="1"/>
    <col min="3588" max="3588" width="9.140625" style="1" customWidth="1"/>
    <col min="3589" max="3589" width="11.42578125" style="1" customWidth="1"/>
    <col min="3590" max="3590" width="1.85546875" style="1" customWidth="1"/>
    <col min="3591" max="3591" width="23.85546875" style="1" customWidth="1"/>
    <col min="3592" max="3592" width="2.42578125" style="1" customWidth="1"/>
    <col min="3593" max="3593" width="14" style="1" customWidth="1"/>
    <col min="3594" max="3594" width="12.42578125" style="1" bestFit="1" customWidth="1"/>
    <col min="3595" max="3595" width="10.85546875" style="1" customWidth="1"/>
    <col min="3596" max="3596" width="10.7109375" style="1" customWidth="1"/>
    <col min="3597" max="3841" width="8.85546875" style="1"/>
    <col min="3842" max="3842" width="17.140625" style="1" customWidth="1"/>
    <col min="3843" max="3843" width="11.7109375" style="1" customWidth="1"/>
    <col min="3844" max="3844" width="9.140625" style="1" customWidth="1"/>
    <col min="3845" max="3845" width="11.42578125" style="1" customWidth="1"/>
    <col min="3846" max="3846" width="1.85546875" style="1" customWidth="1"/>
    <col min="3847" max="3847" width="23.85546875" style="1" customWidth="1"/>
    <col min="3848" max="3848" width="2.42578125" style="1" customWidth="1"/>
    <col min="3849" max="3849" width="14" style="1" customWidth="1"/>
    <col min="3850" max="3850" width="12.42578125" style="1" bestFit="1" customWidth="1"/>
    <col min="3851" max="3851" width="10.85546875" style="1" customWidth="1"/>
    <col min="3852" max="3852" width="10.7109375" style="1" customWidth="1"/>
    <col min="3853" max="4097" width="8.85546875" style="1"/>
    <col min="4098" max="4098" width="17.140625" style="1" customWidth="1"/>
    <col min="4099" max="4099" width="11.7109375" style="1" customWidth="1"/>
    <col min="4100" max="4100" width="9.140625" style="1" customWidth="1"/>
    <col min="4101" max="4101" width="11.42578125" style="1" customWidth="1"/>
    <col min="4102" max="4102" width="1.85546875" style="1" customWidth="1"/>
    <col min="4103" max="4103" width="23.85546875" style="1" customWidth="1"/>
    <col min="4104" max="4104" width="2.42578125" style="1" customWidth="1"/>
    <col min="4105" max="4105" width="14" style="1" customWidth="1"/>
    <col min="4106" max="4106" width="12.42578125" style="1" bestFit="1" customWidth="1"/>
    <col min="4107" max="4107" width="10.85546875" style="1" customWidth="1"/>
    <col min="4108" max="4108" width="10.7109375" style="1" customWidth="1"/>
    <col min="4109" max="4353" width="8.85546875" style="1"/>
    <col min="4354" max="4354" width="17.140625" style="1" customWidth="1"/>
    <col min="4355" max="4355" width="11.7109375" style="1" customWidth="1"/>
    <col min="4356" max="4356" width="9.140625" style="1" customWidth="1"/>
    <col min="4357" max="4357" width="11.42578125" style="1" customWidth="1"/>
    <col min="4358" max="4358" width="1.85546875" style="1" customWidth="1"/>
    <col min="4359" max="4359" width="23.85546875" style="1" customWidth="1"/>
    <col min="4360" max="4360" width="2.42578125" style="1" customWidth="1"/>
    <col min="4361" max="4361" width="14" style="1" customWidth="1"/>
    <col min="4362" max="4362" width="12.42578125" style="1" bestFit="1" customWidth="1"/>
    <col min="4363" max="4363" width="10.85546875" style="1" customWidth="1"/>
    <col min="4364" max="4364" width="10.7109375" style="1" customWidth="1"/>
    <col min="4365" max="4609" width="8.85546875" style="1"/>
    <col min="4610" max="4610" width="17.140625" style="1" customWidth="1"/>
    <col min="4611" max="4611" width="11.7109375" style="1" customWidth="1"/>
    <col min="4612" max="4612" width="9.140625" style="1" customWidth="1"/>
    <col min="4613" max="4613" width="11.42578125" style="1" customWidth="1"/>
    <col min="4614" max="4614" width="1.85546875" style="1" customWidth="1"/>
    <col min="4615" max="4615" width="23.85546875" style="1" customWidth="1"/>
    <col min="4616" max="4616" width="2.42578125" style="1" customWidth="1"/>
    <col min="4617" max="4617" width="14" style="1" customWidth="1"/>
    <col min="4618" max="4618" width="12.42578125" style="1" bestFit="1" customWidth="1"/>
    <col min="4619" max="4619" width="10.85546875" style="1" customWidth="1"/>
    <col min="4620" max="4620" width="10.7109375" style="1" customWidth="1"/>
    <col min="4621" max="4865" width="8.85546875" style="1"/>
    <col min="4866" max="4866" width="17.140625" style="1" customWidth="1"/>
    <col min="4867" max="4867" width="11.7109375" style="1" customWidth="1"/>
    <col min="4868" max="4868" width="9.140625" style="1" customWidth="1"/>
    <col min="4869" max="4869" width="11.42578125" style="1" customWidth="1"/>
    <col min="4870" max="4870" width="1.85546875" style="1" customWidth="1"/>
    <col min="4871" max="4871" width="23.85546875" style="1" customWidth="1"/>
    <col min="4872" max="4872" width="2.42578125" style="1" customWidth="1"/>
    <col min="4873" max="4873" width="14" style="1" customWidth="1"/>
    <col min="4874" max="4874" width="12.42578125" style="1" bestFit="1" customWidth="1"/>
    <col min="4875" max="4875" width="10.85546875" style="1" customWidth="1"/>
    <col min="4876" max="4876" width="10.7109375" style="1" customWidth="1"/>
    <col min="4877" max="5121" width="8.85546875" style="1"/>
    <col min="5122" max="5122" width="17.140625" style="1" customWidth="1"/>
    <col min="5123" max="5123" width="11.7109375" style="1" customWidth="1"/>
    <col min="5124" max="5124" width="9.140625" style="1" customWidth="1"/>
    <col min="5125" max="5125" width="11.42578125" style="1" customWidth="1"/>
    <col min="5126" max="5126" width="1.85546875" style="1" customWidth="1"/>
    <col min="5127" max="5127" width="23.85546875" style="1" customWidth="1"/>
    <col min="5128" max="5128" width="2.42578125" style="1" customWidth="1"/>
    <col min="5129" max="5129" width="14" style="1" customWidth="1"/>
    <col min="5130" max="5130" width="12.42578125" style="1" bestFit="1" customWidth="1"/>
    <col min="5131" max="5131" width="10.85546875" style="1" customWidth="1"/>
    <col min="5132" max="5132" width="10.7109375" style="1" customWidth="1"/>
    <col min="5133" max="5377" width="8.85546875" style="1"/>
    <col min="5378" max="5378" width="17.140625" style="1" customWidth="1"/>
    <col min="5379" max="5379" width="11.7109375" style="1" customWidth="1"/>
    <col min="5380" max="5380" width="9.140625" style="1" customWidth="1"/>
    <col min="5381" max="5381" width="11.42578125" style="1" customWidth="1"/>
    <col min="5382" max="5382" width="1.85546875" style="1" customWidth="1"/>
    <col min="5383" max="5383" width="23.85546875" style="1" customWidth="1"/>
    <col min="5384" max="5384" width="2.42578125" style="1" customWidth="1"/>
    <col min="5385" max="5385" width="14" style="1" customWidth="1"/>
    <col min="5386" max="5386" width="12.42578125" style="1" bestFit="1" customWidth="1"/>
    <col min="5387" max="5387" width="10.85546875" style="1" customWidth="1"/>
    <col min="5388" max="5388" width="10.7109375" style="1" customWidth="1"/>
    <col min="5389" max="5633" width="8.85546875" style="1"/>
    <col min="5634" max="5634" width="17.140625" style="1" customWidth="1"/>
    <col min="5635" max="5635" width="11.7109375" style="1" customWidth="1"/>
    <col min="5636" max="5636" width="9.140625" style="1" customWidth="1"/>
    <col min="5637" max="5637" width="11.42578125" style="1" customWidth="1"/>
    <col min="5638" max="5638" width="1.85546875" style="1" customWidth="1"/>
    <col min="5639" max="5639" width="23.85546875" style="1" customWidth="1"/>
    <col min="5640" max="5640" width="2.42578125" style="1" customWidth="1"/>
    <col min="5641" max="5641" width="14" style="1" customWidth="1"/>
    <col min="5642" max="5642" width="12.42578125" style="1" bestFit="1" customWidth="1"/>
    <col min="5643" max="5643" width="10.85546875" style="1" customWidth="1"/>
    <col min="5644" max="5644" width="10.7109375" style="1" customWidth="1"/>
    <col min="5645" max="5889" width="8.85546875" style="1"/>
    <col min="5890" max="5890" width="17.140625" style="1" customWidth="1"/>
    <col min="5891" max="5891" width="11.7109375" style="1" customWidth="1"/>
    <col min="5892" max="5892" width="9.140625" style="1" customWidth="1"/>
    <col min="5893" max="5893" width="11.42578125" style="1" customWidth="1"/>
    <col min="5894" max="5894" width="1.85546875" style="1" customWidth="1"/>
    <col min="5895" max="5895" width="23.85546875" style="1" customWidth="1"/>
    <col min="5896" max="5896" width="2.42578125" style="1" customWidth="1"/>
    <col min="5897" max="5897" width="14" style="1" customWidth="1"/>
    <col min="5898" max="5898" width="12.42578125" style="1" bestFit="1" customWidth="1"/>
    <col min="5899" max="5899" width="10.85546875" style="1" customWidth="1"/>
    <col min="5900" max="5900" width="10.7109375" style="1" customWidth="1"/>
    <col min="5901" max="6145" width="8.85546875" style="1"/>
    <col min="6146" max="6146" width="17.140625" style="1" customWidth="1"/>
    <col min="6147" max="6147" width="11.7109375" style="1" customWidth="1"/>
    <col min="6148" max="6148" width="9.140625" style="1" customWidth="1"/>
    <col min="6149" max="6149" width="11.42578125" style="1" customWidth="1"/>
    <col min="6150" max="6150" width="1.85546875" style="1" customWidth="1"/>
    <col min="6151" max="6151" width="23.85546875" style="1" customWidth="1"/>
    <col min="6152" max="6152" width="2.42578125" style="1" customWidth="1"/>
    <col min="6153" max="6153" width="14" style="1" customWidth="1"/>
    <col min="6154" max="6154" width="12.42578125" style="1" bestFit="1" customWidth="1"/>
    <col min="6155" max="6155" width="10.85546875" style="1" customWidth="1"/>
    <col min="6156" max="6156" width="10.7109375" style="1" customWidth="1"/>
    <col min="6157" max="6401" width="8.85546875" style="1"/>
    <col min="6402" max="6402" width="17.140625" style="1" customWidth="1"/>
    <col min="6403" max="6403" width="11.7109375" style="1" customWidth="1"/>
    <col min="6404" max="6404" width="9.140625" style="1" customWidth="1"/>
    <col min="6405" max="6405" width="11.42578125" style="1" customWidth="1"/>
    <col min="6406" max="6406" width="1.85546875" style="1" customWidth="1"/>
    <col min="6407" max="6407" width="23.85546875" style="1" customWidth="1"/>
    <col min="6408" max="6408" width="2.42578125" style="1" customWidth="1"/>
    <col min="6409" max="6409" width="14" style="1" customWidth="1"/>
    <col min="6410" max="6410" width="12.42578125" style="1" bestFit="1" customWidth="1"/>
    <col min="6411" max="6411" width="10.85546875" style="1" customWidth="1"/>
    <col min="6412" max="6412" width="10.7109375" style="1" customWidth="1"/>
    <col min="6413" max="6657" width="8.85546875" style="1"/>
    <col min="6658" max="6658" width="17.140625" style="1" customWidth="1"/>
    <col min="6659" max="6659" width="11.7109375" style="1" customWidth="1"/>
    <col min="6660" max="6660" width="9.140625" style="1" customWidth="1"/>
    <col min="6661" max="6661" width="11.42578125" style="1" customWidth="1"/>
    <col min="6662" max="6662" width="1.85546875" style="1" customWidth="1"/>
    <col min="6663" max="6663" width="23.85546875" style="1" customWidth="1"/>
    <col min="6664" max="6664" width="2.42578125" style="1" customWidth="1"/>
    <col min="6665" max="6665" width="14" style="1" customWidth="1"/>
    <col min="6666" max="6666" width="12.42578125" style="1" bestFit="1" customWidth="1"/>
    <col min="6667" max="6667" width="10.85546875" style="1" customWidth="1"/>
    <col min="6668" max="6668" width="10.7109375" style="1" customWidth="1"/>
    <col min="6669" max="6913" width="8.85546875" style="1"/>
    <col min="6914" max="6914" width="17.140625" style="1" customWidth="1"/>
    <col min="6915" max="6915" width="11.7109375" style="1" customWidth="1"/>
    <col min="6916" max="6916" width="9.140625" style="1" customWidth="1"/>
    <col min="6917" max="6917" width="11.42578125" style="1" customWidth="1"/>
    <col min="6918" max="6918" width="1.85546875" style="1" customWidth="1"/>
    <col min="6919" max="6919" width="23.85546875" style="1" customWidth="1"/>
    <col min="6920" max="6920" width="2.42578125" style="1" customWidth="1"/>
    <col min="6921" max="6921" width="14" style="1" customWidth="1"/>
    <col min="6922" max="6922" width="12.42578125" style="1" bestFit="1" customWidth="1"/>
    <col min="6923" max="6923" width="10.85546875" style="1" customWidth="1"/>
    <col min="6924" max="6924" width="10.7109375" style="1" customWidth="1"/>
    <col min="6925" max="7169" width="8.85546875" style="1"/>
    <col min="7170" max="7170" width="17.140625" style="1" customWidth="1"/>
    <col min="7171" max="7171" width="11.7109375" style="1" customWidth="1"/>
    <col min="7172" max="7172" width="9.140625" style="1" customWidth="1"/>
    <col min="7173" max="7173" width="11.42578125" style="1" customWidth="1"/>
    <col min="7174" max="7174" width="1.85546875" style="1" customWidth="1"/>
    <col min="7175" max="7175" width="23.85546875" style="1" customWidth="1"/>
    <col min="7176" max="7176" width="2.42578125" style="1" customWidth="1"/>
    <col min="7177" max="7177" width="14" style="1" customWidth="1"/>
    <col min="7178" max="7178" width="12.42578125" style="1" bestFit="1" customWidth="1"/>
    <col min="7179" max="7179" width="10.85546875" style="1" customWidth="1"/>
    <col min="7180" max="7180" width="10.7109375" style="1" customWidth="1"/>
    <col min="7181" max="7425" width="8.85546875" style="1"/>
    <col min="7426" max="7426" width="17.140625" style="1" customWidth="1"/>
    <col min="7427" max="7427" width="11.7109375" style="1" customWidth="1"/>
    <col min="7428" max="7428" width="9.140625" style="1" customWidth="1"/>
    <col min="7429" max="7429" width="11.42578125" style="1" customWidth="1"/>
    <col min="7430" max="7430" width="1.85546875" style="1" customWidth="1"/>
    <col min="7431" max="7431" width="23.85546875" style="1" customWidth="1"/>
    <col min="7432" max="7432" width="2.42578125" style="1" customWidth="1"/>
    <col min="7433" max="7433" width="14" style="1" customWidth="1"/>
    <col min="7434" max="7434" width="12.42578125" style="1" bestFit="1" customWidth="1"/>
    <col min="7435" max="7435" width="10.85546875" style="1" customWidth="1"/>
    <col min="7436" max="7436" width="10.7109375" style="1" customWidth="1"/>
    <col min="7437" max="7681" width="8.85546875" style="1"/>
    <col min="7682" max="7682" width="17.140625" style="1" customWidth="1"/>
    <col min="7683" max="7683" width="11.7109375" style="1" customWidth="1"/>
    <col min="7684" max="7684" width="9.140625" style="1" customWidth="1"/>
    <col min="7685" max="7685" width="11.42578125" style="1" customWidth="1"/>
    <col min="7686" max="7686" width="1.85546875" style="1" customWidth="1"/>
    <col min="7687" max="7687" width="23.85546875" style="1" customWidth="1"/>
    <col min="7688" max="7688" width="2.42578125" style="1" customWidth="1"/>
    <col min="7689" max="7689" width="14" style="1" customWidth="1"/>
    <col min="7690" max="7690" width="12.42578125" style="1" bestFit="1" customWidth="1"/>
    <col min="7691" max="7691" width="10.85546875" style="1" customWidth="1"/>
    <col min="7692" max="7692" width="10.7109375" style="1" customWidth="1"/>
    <col min="7693" max="7937" width="8.85546875" style="1"/>
    <col min="7938" max="7938" width="17.140625" style="1" customWidth="1"/>
    <col min="7939" max="7939" width="11.7109375" style="1" customWidth="1"/>
    <col min="7940" max="7940" width="9.140625" style="1" customWidth="1"/>
    <col min="7941" max="7941" width="11.42578125" style="1" customWidth="1"/>
    <col min="7942" max="7942" width="1.85546875" style="1" customWidth="1"/>
    <col min="7943" max="7943" width="23.85546875" style="1" customWidth="1"/>
    <col min="7944" max="7944" width="2.42578125" style="1" customWidth="1"/>
    <col min="7945" max="7945" width="14" style="1" customWidth="1"/>
    <col min="7946" max="7946" width="12.42578125" style="1" bestFit="1" customWidth="1"/>
    <col min="7947" max="7947" width="10.85546875" style="1" customWidth="1"/>
    <col min="7948" max="7948" width="10.7109375" style="1" customWidth="1"/>
    <col min="7949" max="8193" width="8.85546875" style="1"/>
    <col min="8194" max="8194" width="17.140625" style="1" customWidth="1"/>
    <col min="8195" max="8195" width="11.7109375" style="1" customWidth="1"/>
    <col min="8196" max="8196" width="9.140625" style="1" customWidth="1"/>
    <col min="8197" max="8197" width="11.42578125" style="1" customWidth="1"/>
    <col min="8198" max="8198" width="1.85546875" style="1" customWidth="1"/>
    <col min="8199" max="8199" width="23.85546875" style="1" customWidth="1"/>
    <col min="8200" max="8200" width="2.42578125" style="1" customWidth="1"/>
    <col min="8201" max="8201" width="14" style="1" customWidth="1"/>
    <col min="8202" max="8202" width="12.42578125" style="1" bestFit="1" customWidth="1"/>
    <col min="8203" max="8203" width="10.85546875" style="1" customWidth="1"/>
    <col min="8204" max="8204" width="10.7109375" style="1" customWidth="1"/>
    <col min="8205" max="8449" width="8.85546875" style="1"/>
    <col min="8450" max="8450" width="17.140625" style="1" customWidth="1"/>
    <col min="8451" max="8451" width="11.7109375" style="1" customWidth="1"/>
    <col min="8452" max="8452" width="9.140625" style="1" customWidth="1"/>
    <col min="8453" max="8453" width="11.42578125" style="1" customWidth="1"/>
    <col min="8454" max="8454" width="1.85546875" style="1" customWidth="1"/>
    <col min="8455" max="8455" width="23.85546875" style="1" customWidth="1"/>
    <col min="8456" max="8456" width="2.42578125" style="1" customWidth="1"/>
    <col min="8457" max="8457" width="14" style="1" customWidth="1"/>
    <col min="8458" max="8458" width="12.42578125" style="1" bestFit="1" customWidth="1"/>
    <col min="8459" max="8459" width="10.85546875" style="1" customWidth="1"/>
    <col min="8460" max="8460" width="10.7109375" style="1" customWidth="1"/>
    <col min="8461" max="8705" width="8.85546875" style="1"/>
    <col min="8706" max="8706" width="17.140625" style="1" customWidth="1"/>
    <col min="8707" max="8707" width="11.7109375" style="1" customWidth="1"/>
    <col min="8708" max="8708" width="9.140625" style="1" customWidth="1"/>
    <col min="8709" max="8709" width="11.42578125" style="1" customWidth="1"/>
    <col min="8710" max="8710" width="1.85546875" style="1" customWidth="1"/>
    <col min="8711" max="8711" width="23.85546875" style="1" customWidth="1"/>
    <col min="8712" max="8712" width="2.42578125" style="1" customWidth="1"/>
    <col min="8713" max="8713" width="14" style="1" customWidth="1"/>
    <col min="8714" max="8714" width="12.42578125" style="1" bestFit="1" customWidth="1"/>
    <col min="8715" max="8715" width="10.85546875" style="1" customWidth="1"/>
    <col min="8716" max="8716" width="10.7109375" style="1" customWidth="1"/>
    <col min="8717" max="8961" width="8.85546875" style="1"/>
    <col min="8962" max="8962" width="17.140625" style="1" customWidth="1"/>
    <col min="8963" max="8963" width="11.7109375" style="1" customWidth="1"/>
    <col min="8964" max="8964" width="9.140625" style="1" customWidth="1"/>
    <col min="8965" max="8965" width="11.42578125" style="1" customWidth="1"/>
    <col min="8966" max="8966" width="1.85546875" style="1" customWidth="1"/>
    <col min="8967" max="8967" width="23.85546875" style="1" customWidth="1"/>
    <col min="8968" max="8968" width="2.42578125" style="1" customWidth="1"/>
    <col min="8969" max="8969" width="14" style="1" customWidth="1"/>
    <col min="8970" max="8970" width="12.42578125" style="1" bestFit="1" customWidth="1"/>
    <col min="8971" max="8971" width="10.85546875" style="1" customWidth="1"/>
    <col min="8972" max="8972" width="10.7109375" style="1" customWidth="1"/>
    <col min="8973" max="9217" width="8.85546875" style="1"/>
    <col min="9218" max="9218" width="17.140625" style="1" customWidth="1"/>
    <col min="9219" max="9219" width="11.7109375" style="1" customWidth="1"/>
    <col min="9220" max="9220" width="9.140625" style="1" customWidth="1"/>
    <col min="9221" max="9221" width="11.42578125" style="1" customWidth="1"/>
    <col min="9222" max="9222" width="1.85546875" style="1" customWidth="1"/>
    <col min="9223" max="9223" width="23.85546875" style="1" customWidth="1"/>
    <col min="9224" max="9224" width="2.42578125" style="1" customWidth="1"/>
    <col min="9225" max="9225" width="14" style="1" customWidth="1"/>
    <col min="9226" max="9226" width="12.42578125" style="1" bestFit="1" customWidth="1"/>
    <col min="9227" max="9227" width="10.85546875" style="1" customWidth="1"/>
    <col min="9228" max="9228" width="10.7109375" style="1" customWidth="1"/>
    <col min="9229" max="9473" width="8.85546875" style="1"/>
    <col min="9474" max="9474" width="17.140625" style="1" customWidth="1"/>
    <col min="9475" max="9475" width="11.7109375" style="1" customWidth="1"/>
    <col min="9476" max="9476" width="9.140625" style="1" customWidth="1"/>
    <col min="9477" max="9477" width="11.42578125" style="1" customWidth="1"/>
    <col min="9478" max="9478" width="1.85546875" style="1" customWidth="1"/>
    <col min="9479" max="9479" width="23.85546875" style="1" customWidth="1"/>
    <col min="9480" max="9480" width="2.42578125" style="1" customWidth="1"/>
    <col min="9481" max="9481" width="14" style="1" customWidth="1"/>
    <col min="9482" max="9482" width="12.42578125" style="1" bestFit="1" customWidth="1"/>
    <col min="9483" max="9483" width="10.85546875" style="1" customWidth="1"/>
    <col min="9484" max="9484" width="10.7109375" style="1" customWidth="1"/>
    <col min="9485" max="9729" width="8.85546875" style="1"/>
    <col min="9730" max="9730" width="17.140625" style="1" customWidth="1"/>
    <col min="9731" max="9731" width="11.7109375" style="1" customWidth="1"/>
    <col min="9732" max="9732" width="9.140625" style="1" customWidth="1"/>
    <col min="9733" max="9733" width="11.42578125" style="1" customWidth="1"/>
    <col min="9734" max="9734" width="1.85546875" style="1" customWidth="1"/>
    <col min="9735" max="9735" width="23.85546875" style="1" customWidth="1"/>
    <col min="9736" max="9736" width="2.42578125" style="1" customWidth="1"/>
    <col min="9737" max="9737" width="14" style="1" customWidth="1"/>
    <col min="9738" max="9738" width="12.42578125" style="1" bestFit="1" customWidth="1"/>
    <col min="9739" max="9739" width="10.85546875" style="1" customWidth="1"/>
    <col min="9740" max="9740" width="10.7109375" style="1" customWidth="1"/>
    <col min="9741" max="9985" width="8.85546875" style="1"/>
    <col min="9986" max="9986" width="17.140625" style="1" customWidth="1"/>
    <col min="9987" max="9987" width="11.7109375" style="1" customWidth="1"/>
    <col min="9988" max="9988" width="9.140625" style="1" customWidth="1"/>
    <col min="9989" max="9989" width="11.42578125" style="1" customWidth="1"/>
    <col min="9990" max="9990" width="1.85546875" style="1" customWidth="1"/>
    <col min="9991" max="9991" width="23.85546875" style="1" customWidth="1"/>
    <col min="9992" max="9992" width="2.42578125" style="1" customWidth="1"/>
    <col min="9993" max="9993" width="14" style="1" customWidth="1"/>
    <col min="9994" max="9994" width="12.42578125" style="1" bestFit="1" customWidth="1"/>
    <col min="9995" max="9995" width="10.85546875" style="1" customWidth="1"/>
    <col min="9996" max="9996" width="10.7109375" style="1" customWidth="1"/>
    <col min="9997" max="10241" width="8.85546875" style="1"/>
    <col min="10242" max="10242" width="17.140625" style="1" customWidth="1"/>
    <col min="10243" max="10243" width="11.7109375" style="1" customWidth="1"/>
    <col min="10244" max="10244" width="9.140625" style="1" customWidth="1"/>
    <col min="10245" max="10245" width="11.42578125" style="1" customWidth="1"/>
    <col min="10246" max="10246" width="1.85546875" style="1" customWidth="1"/>
    <col min="10247" max="10247" width="23.85546875" style="1" customWidth="1"/>
    <col min="10248" max="10248" width="2.42578125" style="1" customWidth="1"/>
    <col min="10249" max="10249" width="14" style="1" customWidth="1"/>
    <col min="10250" max="10250" width="12.42578125" style="1" bestFit="1" customWidth="1"/>
    <col min="10251" max="10251" width="10.85546875" style="1" customWidth="1"/>
    <col min="10252" max="10252" width="10.7109375" style="1" customWidth="1"/>
    <col min="10253" max="10497" width="8.85546875" style="1"/>
    <col min="10498" max="10498" width="17.140625" style="1" customWidth="1"/>
    <col min="10499" max="10499" width="11.7109375" style="1" customWidth="1"/>
    <col min="10500" max="10500" width="9.140625" style="1" customWidth="1"/>
    <col min="10501" max="10501" width="11.42578125" style="1" customWidth="1"/>
    <col min="10502" max="10502" width="1.85546875" style="1" customWidth="1"/>
    <col min="10503" max="10503" width="23.85546875" style="1" customWidth="1"/>
    <col min="10504" max="10504" width="2.42578125" style="1" customWidth="1"/>
    <col min="10505" max="10505" width="14" style="1" customWidth="1"/>
    <col min="10506" max="10506" width="12.42578125" style="1" bestFit="1" customWidth="1"/>
    <col min="10507" max="10507" width="10.85546875" style="1" customWidth="1"/>
    <col min="10508" max="10508" width="10.7109375" style="1" customWidth="1"/>
    <col min="10509" max="10753" width="8.85546875" style="1"/>
    <col min="10754" max="10754" width="17.140625" style="1" customWidth="1"/>
    <col min="10755" max="10755" width="11.7109375" style="1" customWidth="1"/>
    <col min="10756" max="10756" width="9.140625" style="1" customWidth="1"/>
    <col min="10757" max="10757" width="11.42578125" style="1" customWidth="1"/>
    <col min="10758" max="10758" width="1.85546875" style="1" customWidth="1"/>
    <col min="10759" max="10759" width="23.85546875" style="1" customWidth="1"/>
    <col min="10760" max="10760" width="2.42578125" style="1" customWidth="1"/>
    <col min="10761" max="10761" width="14" style="1" customWidth="1"/>
    <col min="10762" max="10762" width="12.42578125" style="1" bestFit="1" customWidth="1"/>
    <col min="10763" max="10763" width="10.85546875" style="1" customWidth="1"/>
    <col min="10764" max="10764" width="10.7109375" style="1" customWidth="1"/>
    <col min="10765" max="11009" width="8.85546875" style="1"/>
    <col min="11010" max="11010" width="17.140625" style="1" customWidth="1"/>
    <col min="11011" max="11011" width="11.7109375" style="1" customWidth="1"/>
    <col min="11012" max="11012" width="9.140625" style="1" customWidth="1"/>
    <col min="11013" max="11013" width="11.42578125" style="1" customWidth="1"/>
    <col min="11014" max="11014" width="1.85546875" style="1" customWidth="1"/>
    <col min="11015" max="11015" width="23.85546875" style="1" customWidth="1"/>
    <col min="11016" max="11016" width="2.42578125" style="1" customWidth="1"/>
    <col min="11017" max="11017" width="14" style="1" customWidth="1"/>
    <col min="11018" max="11018" width="12.42578125" style="1" bestFit="1" customWidth="1"/>
    <col min="11019" max="11019" width="10.85546875" style="1" customWidth="1"/>
    <col min="11020" max="11020" width="10.7109375" style="1" customWidth="1"/>
    <col min="11021" max="11265" width="8.85546875" style="1"/>
    <col min="11266" max="11266" width="17.140625" style="1" customWidth="1"/>
    <col min="11267" max="11267" width="11.7109375" style="1" customWidth="1"/>
    <col min="11268" max="11268" width="9.140625" style="1" customWidth="1"/>
    <col min="11269" max="11269" width="11.42578125" style="1" customWidth="1"/>
    <col min="11270" max="11270" width="1.85546875" style="1" customWidth="1"/>
    <col min="11271" max="11271" width="23.85546875" style="1" customWidth="1"/>
    <col min="11272" max="11272" width="2.42578125" style="1" customWidth="1"/>
    <col min="11273" max="11273" width="14" style="1" customWidth="1"/>
    <col min="11274" max="11274" width="12.42578125" style="1" bestFit="1" customWidth="1"/>
    <col min="11275" max="11275" width="10.85546875" style="1" customWidth="1"/>
    <col min="11276" max="11276" width="10.7109375" style="1" customWidth="1"/>
    <col min="11277" max="11521" width="8.85546875" style="1"/>
    <col min="11522" max="11522" width="17.140625" style="1" customWidth="1"/>
    <col min="11523" max="11523" width="11.7109375" style="1" customWidth="1"/>
    <col min="11524" max="11524" width="9.140625" style="1" customWidth="1"/>
    <col min="11525" max="11525" width="11.42578125" style="1" customWidth="1"/>
    <col min="11526" max="11526" width="1.85546875" style="1" customWidth="1"/>
    <col min="11527" max="11527" width="23.85546875" style="1" customWidth="1"/>
    <col min="11528" max="11528" width="2.42578125" style="1" customWidth="1"/>
    <col min="11529" max="11529" width="14" style="1" customWidth="1"/>
    <col min="11530" max="11530" width="12.42578125" style="1" bestFit="1" customWidth="1"/>
    <col min="11531" max="11531" width="10.85546875" style="1" customWidth="1"/>
    <col min="11532" max="11532" width="10.7109375" style="1" customWidth="1"/>
    <col min="11533" max="11777" width="8.85546875" style="1"/>
    <col min="11778" max="11778" width="17.140625" style="1" customWidth="1"/>
    <col min="11779" max="11779" width="11.7109375" style="1" customWidth="1"/>
    <col min="11780" max="11780" width="9.140625" style="1" customWidth="1"/>
    <col min="11781" max="11781" width="11.42578125" style="1" customWidth="1"/>
    <col min="11782" max="11782" width="1.85546875" style="1" customWidth="1"/>
    <col min="11783" max="11783" width="23.85546875" style="1" customWidth="1"/>
    <col min="11784" max="11784" width="2.42578125" style="1" customWidth="1"/>
    <col min="11785" max="11785" width="14" style="1" customWidth="1"/>
    <col min="11786" max="11786" width="12.42578125" style="1" bestFit="1" customWidth="1"/>
    <col min="11787" max="11787" width="10.85546875" style="1" customWidth="1"/>
    <col min="11788" max="11788" width="10.7109375" style="1" customWidth="1"/>
    <col min="11789" max="12033" width="8.85546875" style="1"/>
    <col min="12034" max="12034" width="17.140625" style="1" customWidth="1"/>
    <col min="12035" max="12035" width="11.7109375" style="1" customWidth="1"/>
    <col min="12036" max="12036" width="9.140625" style="1" customWidth="1"/>
    <col min="12037" max="12037" width="11.42578125" style="1" customWidth="1"/>
    <col min="12038" max="12038" width="1.85546875" style="1" customWidth="1"/>
    <col min="12039" max="12039" width="23.85546875" style="1" customWidth="1"/>
    <col min="12040" max="12040" width="2.42578125" style="1" customWidth="1"/>
    <col min="12041" max="12041" width="14" style="1" customWidth="1"/>
    <col min="12042" max="12042" width="12.42578125" style="1" bestFit="1" customWidth="1"/>
    <col min="12043" max="12043" width="10.85546875" style="1" customWidth="1"/>
    <col min="12044" max="12044" width="10.7109375" style="1" customWidth="1"/>
    <col min="12045" max="12289" width="8.85546875" style="1"/>
    <col min="12290" max="12290" width="17.140625" style="1" customWidth="1"/>
    <col min="12291" max="12291" width="11.7109375" style="1" customWidth="1"/>
    <col min="12292" max="12292" width="9.140625" style="1" customWidth="1"/>
    <col min="12293" max="12293" width="11.42578125" style="1" customWidth="1"/>
    <col min="12294" max="12294" width="1.85546875" style="1" customWidth="1"/>
    <col min="12295" max="12295" width="23.85546875" style="1" customWidth="1"/>
    <col min="12296" max="12296" width="2.42578125" style="1" customWidth="1"/>
    <col min="12297" max="12297" width="14" style="1" customWidth="1"/>
    <col min="12298" max="12298" width="12.42578125" style="1" bestFit="1" customWidth="1"/>
    <col min="12299" max="12299" width="10.85546875" style="1" customWidth="1"/>
    <col min="12300" max="12300" width="10.7109375" style="1" customWidth="1"/>
    <col min="12301" max="12545" width="8.85546875" style="1"/>
    <col min="12546" max="12546" width="17.140625" style="1" customWidth="1"/>
    <col min="12547" max="12547" width="11.7109375" style="1" customWidth="1"/>
    <col min="12548" max="12548" width="9.140625" style="1" customWidth="1"/>
    <col min="12549" max="12549" width="11.42578125" style="1" customWidth="1"/>
    <col min="12550" max="12550" width="1.85546875" style="1" customWidth="1"/>
    <col min="12551" max="12551" width="23.85546875" style="1" customWidth="1"/>
    <col min="12552" max="12552" width="2.42578125" style="1" customWidth="1"/>
    <col min="12553" max="12553" width="14" style="1" customWidth="1"/>
    <col min="12554" max="12554" width="12.42578125" style="1" bestFit="1" customWidth="1"/>
    <col min="12555" max="12555" width="10.85546875" style="1" customWidth="1"/>
    <col min="12556" max="12556" width="10.7109375" style="1" customWidth="1"/>
    <col min="12557" max="12801" width="8.85546875" style="1"/>
    <col min="12802" max="12802" width="17.140625" style="1" customWidth="1"/>
    <col min="12803" max="12803" width="11.7109375" style="1" customWidth="1"/>
    <col min="12804" max="12804" width="9.140625" style="1" customWidth="1"/>
    <col min="12805" max="12805" width="11.42578125" style="1" customWidth="1"/>
    <col min="12806" max="12806" width="1.85546875" style="1" customWidth="1"/>
    <col min="12807" max="12807" width="23.85546875" style="1" customWidth="1"/>
    <col min="12808" max="12808" width="2.42578125" style="1" customWidth="1"/>
    <col min="12809" max="12809" width="14" style="1" customWidth="1"/>
    <col min="12810" max="12810" width="12.42578125" style="1" bestFit="1" customWidth="1"/>
    <col min="12811" max="12811" width="10.85546875" style="1" customWidth="1"/>
    <col min="12812" max="12812" width="10.7109375" style="1" customWidth="1"/>
    <col min="12813" max="13057" width="8.85546875" style="1"/>
    <col min="13058" max="13058" width="17.140625" style="1" customWidth="1"/>
    <col min="13059" max="13059" width="11.7109375" style="1" customWidth="1"/>
    <col min="13060" max="13060" width="9.140625" style="1" customWidth="1"/>
    <col min="13061" max="13061" width="11.42578125" style="1" customWidth="1"/>
    <col min="13062" max="13062" width="1.85546875" style="1" customWidth="1"/>
    <col min="13063" max="13063" width="23.85546875" style="1" customWidth="1"/>
    <col min="13064" max="13064" width="2.42578125" style="1" customWidth="1"/>
    <col min="13065" max="13065" width="14" style="1" customWidth="1"/>
    <col min="13066" max="13066" width="12.42578125" style="1" bestFit="1" customWidth="1"/>
    <col min="13067" max="13067" width="10.85546875" style="1" customWidth="1"/>
    <col min="13068" max="13068" width="10.7109375" style="1" customWidth="1"/>
    <col min="13069" max="13313" width="8.85546875" style="1"/>
    <col min="13314" max="13314" width="17.140625" style="1" customWidth="1"/>
    <col min="13315" max="13315" width="11.7109375" style="1" customWidth="1"/>
    <col min="13316" max="13316" width="9.140625" style="1" customWidth="1"/>
    <col min="13317" max="13317" width="11.42578125" style="1" customWidth="1"/>
    <col min="13318" max="13318" width="1.85546875" style="1" customWidth="1"/>
    <col min="13319" max="13319" width="23.85546875" style="1" customWidth="1"/>
    <col min="13320" max="13320" width="2.42578125" style="1" customWidth="1"/>
    <col min="13321" max="13321" width="14" style="1" customWidth="1"/>
    <col min="13322" max="13322" width="12.42578125" style="1" bestFit="1" customWidth="1"/>
    <col min="13323" max="13323" width="10.85546875" style="1" customWidth="1"/>
    <col min="13324" max="13324" width="10.7109375" style="1" customWidth="1"/>
    <col min="13325" max="13569" width="8.85546875" style="1"/>
    <col min="13570" max="13570" width="17.140625" style="1" customWidth="1"/>
    <col min="13571" max="13571" width="11.7109375" style="1" customWidth="1"/>
    <col min="13572" max="13572" width="9.140625" style="1" customWidth="1"/>
    <col min="13573" max="13573" width="11.42578125" style="1" customWidth="1"/>
    <col min="13574" max="13574" width="1.85546875" style="1" customWidth="1"/>
    <col min="13575" max="13575" width="23.85546875" style="1" customWidth="1"/>
    <col min="13576" max="13576" width="2.42578125" style="1" customWidth="1"/>
    <col min="13577" max="13577" width="14" style="1" customWidth="1"/>
    <col min="13578" max="13578" width="12.42578125" style="1" bestFit="1" customWidth="1"/>
    <col min="13579" max="13579" width="10.85546875" style="1" customWidth="1"/>
    <col min="13580" max="13580" width="10.7109375" style="1" customWidth="1"/>
    <col min="13581" max="13825" width="8.85546875" style="1"/>
    <col min="13826" max="13826" width="17.140625" style="1" customWidth="1"/>
    <col min="13827" max="13827" width="11.7109375" style="1" customWidth="1"/>
    <col min="13828" max="13828" width="9.140625" style="1" customWidth="1"/>
    <col min="13829" max="13829" width="11.42578125" style="1" customWidth="1"/>
    <col min="13830" max="13830" width="1.85546875" style="1" customWidth="1"/>
    <col min="13831" max="13831" width="23.85546875" style="1" customWidth="1"/>
    <col min="13832" max="13832" width="2.42578125" style="1" customWidth="1"/>
    <col min="13833" max="13833" width="14" style="1" customWidth="1"/>
    <col min="13834" max="13834" width="12.42578125" style="1" bestFit="1" customWidth="1"/>
    <col min="13835" max="13835" width="10.85546875" style="1" customWidth="1"/>
    <col min="13836" max="13836" width="10.7109375" style="1" customWidth="1"/>
    <col min="13837" max="14081" width="8.85546875" style="1"/>
    <col min="14082" max="14082" width="17.140625" style="1" customWidth="1"/>
    <col min="14083" max="14083" width="11.7109375" style="1" customWidth="1"/>
    <col min="14084" max="14084" width="9.140625" style="1" customWidth="1"/>
    <col min="14085" max="14085" width="11.42578125" style="1" customWidth="1"/>
    <col min="14086" max="14086" width="1.85546875" style="1" customWidth="1"/>
    <col min="14087" max="14087" width="23.85546875" style="1" customWidth="1"/>
    <col min="14088" max="14088" width="2.42578125" style="1" customWidth="1"/>
    <col min="14089" max="14089" width="14" style="1" customWidth="1"/>
    <col min="14090" max="14090" width="12.42578125" style="1" bestFit="1" customWidth="1"/>
    <col min="14091" max="14091" width="10.85546875" style="1" customWidth="1"/>
    <col min="14092" max="14092" width="10.7109375" style="1" customWidth="1"/>
    <col min="14093" max="14337" width="8.85546875" style="1"/>
    <col min="14338" max="14338" width="17.140625" style="1" customWidth="1"/>
    <col min="14339" max="14339" width="11.7109375" style="1" customWidth="1"/>
    <col min="14340" max="14340" width="9.140625" style="1" customWidth="1"/>
    <col min="14341" max="14341" width="11.42578125" style="1" customWidth="1"/>
    <col min="14342" max="14342" width="1.85546875" style="1" customWidth="1"/>
    <col min="14343" max="14343" width="23.85546875" style="1" customWidth="1"/>
    <col min="14344" max="14344" width="2.42578125" style="1" customWidth="1"/>
    <col min="14345" max="14345" width="14" style="1" customWidth="1"/>
    <col min="14346" max="14346" width="12.42578125" style="1" bestFit="1" customWidth="1"/>
    <col min="14347" max="14347" width="10.85546875" style="1" customWidth="1"/>
    <col min="14348" max="14348" width="10.7109375" style="1" customWidth="1"/>
    <col min="14349" max="14593" width="8.85546875" style="1"/>
    <col min="14594" max="14594" width="17.140625" style="1" customWidth="1"/>
    <col min="14595" max="14595" width="11.7109375" style="1" customWidth="1"/>
    <col min="14596" max="14596" width="9.140625" style="1" customWidth="1"/>
    <col min="14597" max="14597" width="11.42578125" style="1" customWidth="1"/>
    <col min="14598" max="14598" width="1.85546875" style="1" customWidth="1"/>
    <col min="14599" max="14599" width="23.85546875" style="1" customWidth="1"/>
    <col min="14600" max="14600" width="2.42578125" style="1" customWidth="1"/>
    <col min="14601" max="14601" width="14" style="1" customWidth="1"/>
    <col min="14602" max="14602" width="12.42578125" style="1" bestFit="1" customWidth="1"/>
    <col min="14603" max="14603" width="10.85546875" style="1" customWidth="1"/>
    <col min="14604" max="14604" width="10.7109375" style="1" customWidth="1"/>
    <col min="14605" max="14849" width="8.85546875" style="1"/>
    <col min="14850" max="14850" width="17.140625" style="1" customWidth="1"/>
    <col min="14851" max="14851" width="11.7109375" style="1" customWidth="1"/>
    <col min="14852" max="14852" width="9.140625" style="1" customWidth="1"/>
    <col min="14853" max="14853" width="11.42578125" style="1" customWidth="1"/>
    <col min="14854" max="14854" width="1.85546875" style="1" customWidth="1"/>
    <col min="14855" max="14855" width="23.85546875" style="1" customWidth="1"/>
    <col min="14856" max="14856" width="2.42578125" style="1" customWidth="1"/>
    <col min="14857" max="14857" width="14" style="1" customWidth="1"/>
    <col min="14858" max="14858" width="12.42578125" style="1" bestFit="1" customWidth="1"/>
    <col min="14859" max="14859" width="10.85546875" style="1" customWidth="1"/>
    <col min="14860" max="14860" width="10.7109375" style="1" customWidth="1"/>
    <col min="14861" max="15105" width="8.85546875" style="1"/>
    <col min="15106" max="15106" width="17.140625" style="1" customWidth="1"/>
    <col min="15107" max="15107" width="11.7109375" style="1" customWidth="1"/>
    <col min="15108" max="15108" width="9.140625" style="1" customWidth="1"/>
    <col min="15109" max="15109" width="11.42578125" style="1" customWidth="1"/>
    <col min="15110" max="15110" width="1.85546875" style="1" customWidth="1"/>
    <col min="15111" max="15111" width="23.85546875" style="1" customWidth="1"/>
    <col min="15112" max="15112" width="2.42578125" style="1" customWidth="1"/>
    <col min="15113" max="15113" width="14" style="1" customWidth="1"/>
    <col min="15114" max="15114" width="12.42578125" style="1" bestFit="1" customWidth="1"/>
    <col min="15115" max="15115" width="10.85546875" style="1" customWidth="1"/>
    <col min="15116" max="15116" width="10.7109375" style="1" customWidth="1"/>
    <col min="15117" max="15361" width="8.85546875" style="1"/>
    <col min="15362" max="15362" width="17.140625" style="1" customWidth="1"/>
    <col min="15363" max="15363" width="11.7109375" style="1" customWidth="1"/>
    <col min="15364" max="15364" width="9.140625" style="1" customWidth="1"/>
    <col min="15365" max="15365" width="11.42578125" style="1" customWidth="1"/>
    <col min="15366" max="15366" width="1.85546875" style="1" customWidth="1"/>
    <col min="15367" max="15367" width="23.85546875" style="1" customWidth="1"/>
    <col min="15368" max="15368" width="2.42578125" style="1" customWidth="1"/>
    <col min="15369" max="15369" width="14" style="1" customWidth="1"/>
    <col min="15370" max="15370" width="12.42578125" style="1" bestFit="1" customWidth="1"/>
    <col min="15371" max="15371" width="10.85546875" style="1" customWidth="1"/>
    <col min="15372" max="15372" width="10.7109375" style="1" customWidth="1"/>
    <col min="15373" max="15617" width="8.85546875" style="1"/>
    <col min="15618" max="15618" width="17.140625" style="1" customWidth="1"/>
    <col min="15619" max="15619" width="11.7109375" style="1" customWidth="1"/>
    <col min="15620" max="15620" width="9.140625" style="1" customWidth="1"/>
    <col min="15621" max="15621" width="11.42578125" style="1" customWidth="1"/>
    <col min="15622" max="15622" width="1.85546875" style="1" customWidth="1"/>
    <col min="15623" max="15623" width="23.85546875" style="1" customWidth="1"/>
    <col min="15624" max="15624" width="2.42578125" style="1" customWidth="1"/>
    <col min="15625" max="15625" width="14" style="1" customWidth="1"/>
    <col min="15626" max="15626" width="12.42578125" style="1" bestFit="1" customWidth="1"/>
    <col min="15627" max="15627" width="10.85546875" style="1" customWidth="1"/>
    <col min="15628" max="15628" width="10.7109375" style="1" customWidth="1"/>
    <col min="15629" max="15873" width="8.85546875" style="1"/>
    <col min="15874" max="15874" width="17.140625" style="1" customWidth="1"/>
    <col min="15875" max="15875" width="11.7109375" style="1" customWidth="1"/>
    <col min="15876" max="15876" width="9.140625" style="1" customWidth="1"/>
    <col min="15877" max="15877" width="11.42578125" style="1" customWidth="1"/>
    <col min="15878" max="15878" width="1.85546875" style="1" customWidth="1"/>
    <col min="15879" max="15879" width="23.85546875" style="1" customWidth="1"/>
    <col min="15880" max="15880" width="2.42578125" style="1" customWidth="1"/>
    <col min="15881" max="15881" width="14" style="1" customWidth="1"/>
    <col min="15882" max="15882" width="12.42578125" style="1" bestFit="1" customWidth="1"/>
    <col min="15883" max="15883" width="10.85546875" style="1" customWidth="1"/>
    <col min="15884" max="15884" width="10.7109375" style="1" customWidth="1"/>
    <col min="15885" max="16129" width="8.85546875" style="1"/>
    <col min="16130" max="16130" width="17.140625" style="1" customWidth="1"/>
    <col min="16131" max="16131" width="11.7109375" style="1" customWidth="1"/>
    <col min="16132" max="16132" width="9.140625" style="1" customWidth="1"/>
    <col min="16133" max="16133" width="11.42578125" style="1" customWidth="1"/>
    <col min="16134" max="16134" width="1.85546875" style="1" customWidth="1"/>
    <col min="16135" max="16135" width="23.85546875" style="1" customWidth="1"/>
    <col min="16136" max="16136" width="2.42578125" style="1" customWidth="1"/>
    <col min="16137" max="16137" width="14" style="1" customWidth="1"/>
    <col min="16138" max="16138" width="12.42578125" style="1" bestFit="1" customWidth="1"/>
    <col min="16139" max="16139" width="10.85546875" style="1" customWidth="1"/>
    <col min="16140" max="16140" width="10.7109375" style="1" customWidth="1"/>
    <col min="16141" max="16384" width="8.85546875" style="1"/>
  </cols>
  <sheetData>
    <row r="1" spans="1:24" x14ac:dyDescent="0.25">
      <c r="F1" s="40" t="s">
        <v>98</v>
      </c>
      <c r="G1" s="40"/>
      <c r="H1" s="40"/>
      <c r="I1" s="41"/>
      <c r="J1" s="41"/>
      <c r="K1" s="41"/>
      <c r="L1" s="100"/>
      <c r="M1" s="39"/>
    </row>
    <row r="2" spans="1:24" x14ac:dyDescent="0.25">
      <c r="F2" s="40" t="s">
        <v>4</v>
      </c>
      <c r="G2" s="40"/>
      <c r="H2" s="40"/>
      <c r="I2" s="41"/>
      <c r="J2" s="41"/>
      <c r="K2" s="41"/>
      <c r="L2" s="100"/>
      <c r="M2" s="39"/>
    </row>
    <row r="3" spans="1:24" x14ac:dyDescent="0.25">
      <c r="F3" s="40" t="s">
        <v>27</v>
      </c>
      <c r="G3" s="40"/>
      <c r="H3" s="40"/>
      <c r="I3" s="41"/>
      <c r="J3" s="41"/>
      <c r="K3" s="41"/>
      <c r="L3" s="100"/>
      <c r="M3" s="39"/>
      <c r="N3" s="2"/>
    </row>
    <row r="4" spans="1:24" x14ac:dyDescent="0.25">
      <c r="A4" s="1" t="s">
        <v>34</v>
      </c>
      <c r="B4" s="1" t="s">
        <v>35</v>
      </c>
    </row>
    <row r="5" spans="1:24" x14ac:dyDescent="0.25">
      <c r="A5" s="3" t="s">
        <v>28</v>
      </c>
      <c r="B5" s="1" t="s">
        <v>31</v>
      </c>
      <c r="G5" s="3"/>
      <c r="H5" s="3"/>
      <c r="N5" s="46"/>
    </row>
    <row r="6" spans="1:24" x14ac:dyDescent="0.25">
      <c r="A6" s="17">
        <v>2013</v>
      </c>
      <c r="B6" s="125">
        <v>475</v>
      </c>
      <c r="C6" s="17">
        <v>2021</v>
      </c>
      <c r="D6" s="19">
        <f>B13*1.03</f>
        <v>601.71578865911795</v>
      </c>
      <c r="F6" s="3" t="s">
        <v>5</v>
      </c>
      <c r="H6" s="4" t="s">
        <v>202</v>
      </c>
      <c r="I6" s="4">
        <v>2013</v>
      </c>
      <c r="J6" s="4">
        <v>2014</v>
      </c>
      <c r="K6" s="4">
        <v>2015</v>
      </c>
      <c r="L6" s="109">
        <v>2016</v>
      </c>
      <c r="M6" s="4">
        <v>2017</v>
      </c>
      <c r="N6" s="4">
        <v>2018</v>
      </c>
      <c r="O6" s="4">
        <v>2019</v>
      </c>
      <c r="P6" s="109">
        <v>2020</v>
      </c>
      <c r="Q6" s="4">
        <v>2021</v>
      </c>
      <c r="R6" s="4">
        <v>2022</v>
      </c>
      <c r="S6" s="4">
        <v>2023</v>
      </c>
      <c r="T6" s="109">
        <v>2024</v>
      </c>
      <c r="U6" s="4">
        <v>2025</v>
      </c>
      <c r="V6" s="4">
        <v>2026</v>
      </c>
      <c r="W6" s="4">
        <v>2027</v>
      </c>
      <c r="X6" s="109"/>
    </row>
    <row r="7" spans="1:24" x14ac:dyDescent="0.25">
      <c r="A7" s="17">
        <v>2014</v>
      </c>
      <c r="B7" s="125">
        <f>B6*1.03</f>
        <v>489.25</v>
      </c>
      <c r="C7" s="17">
        <v>2022</v>
      </c>
      <c r="D7" s="19">
        <f>D6*1.03</f>
        <v>619.76726231889154</v>
      </c>
      <c r="F7" s="2" t="s">
        <v>58</v>
      </c>
      <c r="G7" s="2"/>
      <c r="H7" s="2"/>
    </row>
    <row r="8" spans="1:24" x14ac:dyDescent="0.25">
      <c r="A8" s="17">
        <v>2015</v>
      </c>
      <c r="B8" s="125">
        <f t="shared" ref="B8" si="0">B7*1.03</f>
        <v>503.92750000000001</v>
      </c>
      <c r="C8" s="17">
        <v>2023</v>
      </c>
      <c r="D8" s="19">
        <f t="shared" ref="D8:D12" si="1">D7*1.03</f>
        <v>638.36028018845832</v>
      </c>
      <c r="F8" s="5" t="s">
        <v>56</v>
      </c>
      <c r="G8" s="5"/>
      <c r="H8" s="5"/>
      <c r="I8" s="19">
        <f>B6*$B$14*$B$15</f>
        <v>21850</v>
      </c>
      <c r="J8" s="19">
        <f>B7*$B$15*$B$14</f>
        <v>22505.5</v>
      </c>
      <c r="K8" s="19">
        <f>B8*$B$15*$B$14</f>
        <v>23180.665000000001</v>
      </c>
      <c r="L8" s="19">
        <f>B9*$B$15*$B$14</f>
        <v>23876.084950000004</v>
      </c>
      <c r="M8" s="19">
        <f>B10*$B$15*$B$14</f>
        <v>24592.367498500003</v>
      </c>
      <c r="N8" s="19">
        <f>B11*$B$15*$B$14</f>
        <v>25330.138523455007</v>
      </c>
      <c r="O8" s="19">
        <f>B12*$B$15*$B$14</f>
        <v>26090.042679158661</v>
      </c>
      <c r="P8" s="19">
        <f>B13*$B$15*$B$14</f>
        <v>26872.743959533422</v>
      </c>
      <c r="Q8" s="19">
        <f>D6*$B$15*$B$14</f>
        <v>27678.926278319424</v>
      </c>
      <c r="R8" s="19">
        <f>D7*$B$15*$B$14</f>
        <v>28509.294066669012</v>
      </c>
      <c r="S8" s="19">
        <f>D8*$B$15*$B$14</f>
        <v>29364.572888669081</v>
      </c>
      <c r="T8" s="19">
        <f>D9*$B$15*$B$14</f>
        <v>30245.510075329155</v>
      </c>
      <c r="U8" s="19">
        <f>D10*$B$15*$B$14</f>
        <v>31152.875377589029</v>
      </c>
      <c r="V8" s="19">
        <f>D11*$B$15*$B$14</f>
        <v>32087.461638916702</v>
      </c>
      <c r="W8" s="19">
        <f>D12*$B$15*$B$14</f>
        <v>33050.085488084209</v>
      </c>
    </row>
    <row r="9" spans="1:24" x14ac:dyDescent="0.25">
      <c r="A9" s="17">
        <v>2016</v>
      </c>
      <c r="B9" s="125">
        <f>B8*1.03</f>
        <v>519.04532500000005</v>
      </c>
      <c r="C9" s="17">
        <v>2024</v>
      </c>
      <c r="D9" s="19">
        <f t="shared" si="1"/>
        <v>657.51108859411204</v>
      </c>
      <c r="F9" s="5" t="s">
        <v>112</v>
      </c>
      <c r="G9" s="5"/>
      <c r="I9" s="19">
        <f>$B$19*D22</f>
        <v>456.25</v>
      </c>
      <c r="J9" s="19">
        <f>$B$19*D23</f>
        <v>456.25</v>
      </c>
      <c r="K9" s="19">
        <f>$B$19*D24</f>
        <v>456.25</v>
      </c>
      <c r="L9" s="19">
        <f>$B$19*D25</f>
        <v>456.25</v>
      </c>
      <c r="M9" s="19">
        <f>L9</f>
        <v>456.25</v>
      </c>
      <c r="N9" s="19">
        <f t="shared" ref="N9:W9" si="2">M9</f>
        <v>456.25</v>
      </c>
      <c r="O9" s="19">
        <f t="shared" si="2"/>
        <v>456.25</v>
      </c>
      <c r="P9" s="19">
        <f t="shared" si="2"/>
        <v>456.25</v>
      </c>
      <c r="Q9" s="19">
        <f t="shared" si="2"/>
        <v>456.25</v>
      </c>
      <c r="R9" s="19">
        <f t="shared" si="2"/>
        <v>456.25</v>
      </c>
      <c r="S9" s="19">
        <f t="shared" si="2"/>
        <v>456.25</v>
      </c>
      <c r="T9" s="19">
        <f t="shared" si="2"/>
        <v>456.25</v>
      </c>
      <c r="U9" s="19">
        <f t="shared" si="2"/>
        <v>456.25</v>
      </c>
      <c r="V9" s="19">
        <f t="shared" si="2"/>
        <v>456.25</v>
      </c>
      <c r="W9" s="19">
        <f t="shared" si="2"/>
        <v>456.25</v>
      </c>
    </row>
    <row r="10" spans="1:24" x14ac:dyDescent="0.25">
      <c r="A10" s="17">
        <v>2017</v>
      </c>
      <c r="B10" s="19">
        <f>B9*1.03</f>
        <v>534.6166847500001</v>
      </c>
      <c r="C10" s="17">
        <v>2025</v>
      </c>
      <c r="D10" s="19">
        <f t="shared" si="1"/>
        <v>677.23642125193544</v>
      </c>
      <c r="F10" s="24" t="s">
        <v>6</v>
      </c>
      <c r="I10" s="132">
        <f>I8+I9</f>
        <v>22306.25</v>
      </c>
      <c r="J10" s="132">
        <f t="shared" ref="J10:L10" si="3">J8+J9</f>
        <v>22961.75</v>
      </c>
      <c r="K10" s="132">
        <f t="shared" si="3"/>
        <v>23636.915000000001</v>
      </c>
      <c r="L10" s="132">
        <f t="shared" si="3"/>
        <v>24332.334950000004</v>
      </c>
      <c r="M10" s="132">
        <f t="shared" ref="M10:V10" si="4">M8+M9</f>
        <v>25048.617498500003</v>
      </c>
      <c r="N10" s="132">
        <f t="shared" si="4"/>
        <v>25786.388523455007</v>
      </c>
      <c r="O10" s="132">
        <f t="shared" si="4"/>
        <v>26546.292679158661</v>
      </c>
      <c r="P10" s="132">
        <f t="shared" si="4"/>
        <v>27328.993959533422</v>
      </c>
      <c r="Q10" s="132">
        <f t="shared" si="4"/>
        <v>28135.176278319424</v>
      </c>
      <c r="R10" s="132">
        <f t="shared" si="4"/>
        <v>28965.544066669012</v>
      </c>
      <c r="S10" s="132">
        <f t="shared" si="4"/>
        <v>29820.822888669081</v>
      </c>
      <c r="T10" s="132">
        <f t="shared" si="4"/>
        <v>30701.760075329155</v>
      </c>
      <c r="U10" s="132">
        <f t="shared" si="4"/>
        <v>31609.125377589029</v>
      </c>
      <c r="V10" s="132">
        <f t="shared" si="4"/>
        <v>32543.711638916702</v>
      </c>
      <c r="W10" s="132">
        <f t="shared" ref="W10" si="5">W8+W9</f>
        <v>33506.335488084209</v>
      </c>
    </row>
    <row r="11" spans="1:24" x14ac:dyDescent="0.25">
      <c r="A11" s="17">
        <v>2018</v>
      </c>
      <c r="B11" s="19">
        <f>B10*1.03</f>
        <v>550.65518529250016</v>
      </c>
      <c r="C11" s="17">
        <v>2026</v>
      </c>
      <c r="D11" s="19">
        <f t="shared" si="1"/>
        <v>697.5535138894935</v>
      </c>
      <c r="F11" s="2" t="s">
        <v>57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4" x14ac:dyDescent="0.25">
      <c r="A12" s="17">
        <v>2019</v>
      </c>
      <c r="B12" s="19">
        <f t="shared" ref="B12:B13" si="6">B11*1.03</f>
        <v>567.17484085127523</v>
      </c>
      <c r="C12" s="17">
        <v>2027</v>
      </c>
      <c r="D12" s="19">
        <f t="shared" si="1"/>
        <v>718.48011930617838</v>
      </c>
      <c r="F12" s="5" t="s">
        <v>1</v>
      </c>
      <c r="G12" s="5"/>
      <c r="I12" s="8">
        <f>$A$39*$A$41</f>
        <v>3300</v>
      </c>
      <c r="J12" s="8">
        <f t="shared" ref="J12:W12" si="7">I12*(1+$C$39)</f>
        <v>3399</v>
      </c>
      <c r="K12" s="8">
        <f t="shared" si="7"/>
        <v>3500.9700000000003</v>
      </c>
      <c r="L12" s="8">
        <f t="shared" si="7"/>
        <v>3605.9991000000005</v>
      </c>
      <c r="M12" s="8">
        <f t="shared" si="7"/>
        <v>3714.1790730000007</v>
      </c>
      <c r="N12" s="8">
        <f t="shared" si="7"/>
        <v>3825.6044451900007</v>
      </c>
      <c r="O12" s="8">
        <f t="shared" si="7"/>
        <v>3940.3725785457009</v>
      </c>
      <c r="P12" s="8">
        <f t="shared" si="7"/>
        <v>4058.583755902072</v>
      </c>
      <c r="Q12" s="8">
        <f t="shared" si="7"/>
        <v>4180.3412685791345</v>
      </c>
      <c r="R12" s="8">
        <f t="shared" si="7"/>
        <v>4305.7515066365086</v>
      </c>
      <c r="S12" s="8">
        <f t="shared" si="7"/>
        <v>4434.9240518356037</v>
      </c>
      <c r="T12" s="8">
        <f t="shared" si="7"/>
        <v>4567.9717733906718</v>
      </c>
      <c r="U12" s="8">
        <f t="shared" si="7"/>
        <v>4705.010926592392</v>
      </c>
      <c r="V12" s="8">
        <f t="shared" si="7"/>
        <v>4846.1612543901638</v>
      </c>
      <c r="W12" s="8">
        <f t="shared" si="7"/>
        <v>4991.5460920218684</v>
      </c>
    </row>
    <row r="13" spans="1:24" x14ac:dyDescent="0.25">
      <c r="A13" s="17">
        <v>2020</v>
      </c>
      <c r="B13" s="19">
        <f t="shared" si="6"/>
        <v>584.19008607681349</v>
      </c>
      <c r="F13" s="5" t="s">
        <v>2</v>
      </c>
      <c r="G13" s="46"/>
      <c r="I13" s="20">
        <f t="shared" ref="I13:W13" si="8">$B$45</f>
        <v>1200</v>
      </c>
      <c r="J13" s="20">
        <f t="shared" si="8"/>
        <v>1200</v>
      </c>
      <c r="K13" s="20">
        <f t="shared" si="8"/>
        <v>1200</v>
      </c>
      <c r="L13" s="20">
        <f t="shared" si="8"/>
        <v>1200</v>
      </c>
      <c r="M13" s="20">
        <f t="shared" si="8"/>
        <v>1200</v>
      </c>
      <c r="N13" s="20">
        <f t="shared" si="8"/>
        <v>1200</v>
      </c>
      <c r="O13" s="20">
        <f t="shared" si="8"/>
        <v>1200</v>
      </c>
      <c r="P13" s="20">
        <f t="shared" si="8"/>
        <v>1200</v>
      </c>
      <c r="Q13" s="20">
        <f t="shared" si="8"/>
        <v>1200</v>
      </c>
      <c r="R13" s="20">
        <f t="shared" si="8"/>
        <v>1200</v>
      </c>
      <c r="S13" s="20">
        <f t="shared" si="8"/>
        <v>1200</v>
      </c>
      <c r="T13" s="20">
        <f t="shared" si="8"/>
        <v>1200</v>
      </c>
      <c r="U13" s="20">
        <f t="shared" si="8"/>
        <v>1200</v>
      </c>
      <c r="V13" s="20">
        <f t="shared" si="8"/>
        <v>1200</v>
      </c>
      <c r="W13" s="20">
        <f t="shared" si="8"/>
        <v>1200</v>
      </c>
    </row>
    <row r="14" spans="1:24" x14ac:dyDescent="0.25">
      <c r="A14" s="2" t="s">
        <v>29</v>
      </c>
      <c r="B14" s="1">
        <v>11.5</v>
      </c>
      <c r="C14" s="18" t="s">
        <v>33</v>
      </c>
      <c r="F14" s="5" t="s">
        <v>7</v>
      </c>
      <c r="G14" s="5"/>
      <c r="I14" s="20">
        <f>B49</f>
        <v>50</v>
      </c>
      <c r="J14" s="20">
        <f t="shared" ref="J14:W14" si="9">$B$49</f>
        <v>50</v>
      </c>
      <c r="K14" s="20">
        <f t="shared" si="9"/>
        <v>50</v>
      </c>
      <c r="L14" s="20">
        <f t="shared" si="9"/>
        <v>50</v>
      </c>
      <c r="M14" s="20">
        <f t="shared" si="9"/>
        <v>50</v>
      </c>
      <c r="N14" s="20">
        <f t="shared" si="9"/>
        <v>50</v>
      </c>
      <c r="O14" s="20">
        <f t="shared" si="9"/>
        <v>50</v>
      </c>
      <c r="P14" s="20">
        <f t="shared" si="9"/>
        <v>50</v>
      </c>
      <c r="Q14" s="20">
        <f t="shared" si="9"/>
        <v>50</v>
      </c>
      <c r="R14" s="20">
        <f t="shared" si="9"/>
        <v>50</v>
      </c>
      <c r="S14" s="20">
        <f t="shared" si="9"/>
        <v>50</v>
      </c>
      <c r="T14" s="20">
        <f t="shared" si="9"/>
        <v>50</v>
      </c>
      <c r="U14" s="20">
        <f t="shared" si="9"/>
        <v>50</v>
      </c>
      <c r="V14" s="20">
        <f t="shared" si="9"/>
        <v>50</v>
      </c>
      <c r="W14" s="20">
        <f t="shared" si="9"/>
        <v>50</v>
      </c>
    </row>
    <row r="15" spans="1:24" x14ac:dyDescent="0.25">
      <c r="A15" s="2" t="s">
        <v>30</v>
      </c>
      <c r="B15" s="1">
        <v>4</v>
      </c>
      <c r="E15" s="9"/>
      <c r="F15" s="5" t="s">
        <v>78</v>
      </c>
      <c r="G15" s="5"/>
      <c r="I15" s="20">
        <f t="shared" ref="I15:W15" si="10">$B$47</f>
        <v>3400</v>
      </c>
      <c r="J15" s="20">
        <f t="shared" si="10"/>
        <v>3400</v>
      </c>
      <c r="K15" s="20">
        <f t="shared" si="10"/>
        <v>3400</v>
      </c>
      <c r="L15" s="20">
        <f t="shared" si="10"/>
        <v>3400</v>
      </c>
      <c r="M15" s="20">
        <f t="shared" si="10"/>
        <v>3400</v>
      </c>
      <c r="N15" s="20">
        <f t="shared" si="10"/>
        <v>3400</v>
      </c>
      <c r="O15" s="20">
        <f t="shared" si="10"/>
        <v>3400</v>
      </c>
      <c r="P15" s="20">
        <f t="shared" si="10"/>
        <v>3400</v>
      </c>
      <c r="Q15" s="20">
        <f t="shared" si="10"/>
        <v>3400</v>
      </c>
      <c r="R15" s="20">
        <f t="shared" si="10"/>
        <v>3400</v>
      </c>
      <c r="S15" s="20">
        <f t="shared" si="10"/>
        <v>3400</v>
      </c>
      <c r="T15" s="20">
        <f t="shared" si="10"/>
        <v>3400</v>
      </c>
      <c r="U15" s="20">
        <f t="shared" si="10"/>
        <v>3400</v>
      </c>
      <c r="V15" s="20">
        <f t="shared" si="10"/>
        <v>3400</v>
      </c>
      <c r="W15" s="20">
        <f t="shared" si="10"/>
        <v>3400</v>
      </c>
    </row>
    <row r="16" spans="1:24" x14ac:dyDescent="0.25">
      <c r="E16" s="9"/>
      <c r="F16" s="5" t="s">
        <v>55</v>
      </c>
      <c r="G16" s="50"/>
      <c r="I16" s="20">
        <f>Amortization!D5</f>
        <v>10692</v>
      </c>
      <c r="J16" s="20">
        <f>Amortization!D6</f>
        <v>10533.801168</v>
      </c>
      <c r="K16" s="20">
        <f>Amortization!D7</f>
        <v>10367.913872764801</v>
      </c>
      <c r="L16" s="20">
        <f>Amortization!D8</f>
        <v>10193.964454981169</v>
      </c>
      <c r="M16" s="20">
        <f>Amortization!D9</f>
        <v>10011.561095493254</v>
      </c>
      <c r="N16" s="20">
        <f>Amortization!D10</f>
        <v>9820.2929327342281</v>
      </c>
      <c r="O16" s="20">
        <f>Amortization!D11</f>
        <v>9619.7291372651107</v>
      </c>
      <c r="P16" s="20">
        <f>Amortization!D12</f>
        <v>9409.4179413361944</v>
      </c>
      <c r="Q16" s="20">
        <f>Amortization!D13</f>
        <v>9188.8856212851333</v>
      </c>
      <c r="R16" s="20">
        <f>Amortization!D14</f>
        <v>8957.6354304795914</v>
      </c>
      <c r="S16" s="20">
        <f>Amortization!D15</f>
        <v>8715.1464804008992</v>
      </c>
      <c r="T16" s="20">
        <f>Amortization!D16</f>
        <v>8460.8725673483841</v>
      </c>
      <c r="U16" s="20">
        <f>Amortization!D17</f>
        <v>8194.2409421215161</v>
      </c>
      <c r="V16" s="20">
        <f>Amortization!D18</f>
        <v>7914.6510199086215</v>
      </c>
      <c r="W16" s="20">
        <f>Amortization!D19</f>
        <v>7621.4730274761805</v>
      </c>
    </row>
    <row r="17" spans="1:24" x14ac:dyDescent="0.25">
      <c r="A17" s="3" t="s">
        <v>14</v>
      </c>
      <c r="E17" s="9"/>
      <c r="F17" s="5" t="s">
        <v>8</v>
      </c>
      <c r="G17" s="5"/>
      <c r="I17" s="7">
        <f t="shared" ref="I17:W17" si="11">$A$55</f>
        <v>7260</v>
      </c>
      <c r="J17" s="7">
        <f t="shared" si="11"/>
        <v>7260</v>
      </c>
      <c r="K17" s="7">
        <f t="shared" si="11"/>
        <v>7260</v>
      </c>
      <c r="L17" s="20">
        <f t="shared" si="11"/>
        <v>7260</v>
      </c>
      <c r="M17" s="20">
        <f t="shared" si="11"/>
        <v>7260</v>
      </c>
      <c r="N17" s="20">
        <f t="shared" si="11"/>
        <v>7260</v>
      </c>
      <c r="O17" s="20">
        <f t="shared" si="11"/>
        <v>7260</v>
      </c>
      <c r="P17" s="20">
        <f t="shared" si="11"/>
        <v>7260</v>
      </c>
      <c r="Q17" s="20">
        <f t="shared" si="11"/>
        <v>7260</v>
      </c>
      <c r="R17" s="20">
        <f t="shared" si="11"/>
        <v>7260</v>
      </c>
      <c r="S17" s="20">
        <f t="shared" si="11"/>
        <v>7260</v>
      </c>
      <c r="T17" s="20">
        <f t="shared" si="11"/>
        <v>7260</v>
      </c>
      <c r="U17" s="20">
        <f t="shared" si="11"/>
        <v>7260</v>
      </c>
      <c r="V17" s="20">
        <f t="shared" si="11"/>
        <v>7260</v>
      </c>
      <c r="W17" s="20">
        <f t="shared" si="11"/>
        <v>7260</v>
      </c>
    </row>
    <row r="18" spans="1:24" x14ac:dyDescent="0.25">
      <c r="A18" s="1" t="s">
        <v>85</v>
      </c>
      <c r="D18" s="9"/>
      <c r="E18" s="9"/>
      <c r="F18" s="24" t="s">
        <v>9</v>
      </c>
      <c r="I18" s="19">
        <f>SUM(I12:I17)</f>
        <v>25902</v>
      </c>
      <c r="J18" s="19">
        <f t="shared" ref="J18:L18" si="12">SUM(J12:J17)</f>
        <v>25842.801167999998</v>
      </c>
      <c r="K18" s="19">
        <f t="shared" si="12"/>
        <v>25778.8838727648</v>
      </c>
      <c r="L18" s="19">
        <f t="shared" si="12"/>
        <v>25709.963554981172</v>
      </c>
      <c r="M18" s="19">
        <f t="shared" ref="M18:V18" si="13">SUM(M12:M17)</f>
        <v>25635.740168493256</v>
      </c>
      <c r="N18" s="19">
        <f t="shared" si="13"/>
        <v>25555.89737792423</v>
      </c>
      <c r="O18" s="19">
        <f t="shared" si="13"/>
        <v>25470.101715810812</v>
      </c>
      <c r="P18" s="19">
        <f t="shared" si="13"/>
        <v>25378.001697238265</v>
      </c>
      <c r="Q18" s="19">
        <f t="shared" si="13"/>
        <v>25279.226889864265</v>
      </c>
      <c r="R18" s="19">
        <f t="shared" si="13"/>
        <v>25173.386937116098</v>
      </c>
      <c r="S18" s="19">
        <f t="shared" si="13"/>
        <v>25060.070532236503</v>
      </c>
      <c r="T18" s="19">
        <f t="shared" si="13"/>
        <v>24938.844340739059</v>
      </c>
      <c r="U18" s="19">
        <f t="shared" si="13"/>
        <v>24809.251868713909</v>
      </c>
      <c r="V18" s="19">
        <f t="shared" si="13"/>
        <v>24670.812274298787</v>
      </c>
      <c r="W18" s="19">
        <f t="shared" ref="W18" si="14">SUM(W12:W17)</f>
        <v>24523.019119498051</v>
      </c>
    </row>
    <row r="19" spans="1:24" x14ac:dyDescent="0.25">
      <c r="A19" s="1" t="s">
        <v>86</v>
      </c>
      <c r="B19" s="47">
        <v>25</v>
      </c>
      <c r="C19" s="2" t="s">
        <v>87</v>
      </c>
      <c r="D19" s="9"/>
      <c r="E19" s="9"/>
      <c r="F19" s="2" t="s">
        <v>59</v>
      </c>
      <c r="I19" s="44">
        <f>I10-I18</f>
        <v>-3595.75</v>
      </c>
      <c r="J19" s="44">
        <f>J10-J18</f>
        <v>-2881.0511679999981</v>
      </c>
      <c r="K19" s="44">
        <f>K10-K18</f>
        <v>-2141.968872764799</v>
      </c>
      <c r="L19" s="44">
        <f>L10-L18</f>
        <v>-1377.6286049811679</v>
      </c>
      <c r="M19" s="44">
        <f t="shared" ref="M19:U19" si="15">M10-M18</f>
        <v>-587.1226699932522</v>
      </c>
      <c r="N19" s="44">
        <f t="shared" si="15"/>
        <v>230.49114553077743</v>
      </c>
      <c r="O19" s="44">
        <f t="shared" si="15"/>
        <v>1076.1909633478499</v>
      </c>
      <c r="P19" s="44">
        <f t="shared" si="15"/>
        <v>1950.9922622951563</v>
      </c>
      <c r="Q19" s="44">
        <f t="shared" si="15"/>
        <v>2855.9493884551594</v>
      </c>
      <c r="R19" s="44">
        <f t="shared" si="15"/>
        <v>3792.1571295529138</v>
      </c>
      <c r="S19" s="44">
        <f t="shared" si="15"/>
        <v>4760.7523564325784</v>
      </c>
      <c r="T19" s="44">
        <f t="shared" si="15"/>
        <v>5762.9157345900967</v>
      </c>
      <c r="U19" s="44">
        <f t="shared" si="15"/>
        <v>6799.87350887512</v>
      </c>
      <c r="V19" s="44">
        <f>V10-V18</f>
        <v>7872.8993646179151</v>
      </c>
      <c r="W19" s="44">
        <f t="shared" ref="W19" si="16">W10-W18</f>
        <v>8983.3163685861582</v>
      </c>
      <c r="X19" s="7"/>
    </row>
    <row r="20" spans="1:24" x14ac:dyDescent="0.25">
      <c r="A20" s="32">
        <v>0.05</v>
      </c>
      <c r="B20" s="1" t="s">
        <v>88</v>
      </c>
      <c r="E20" s="9"/>
      <c r="F20" s="2" t="s">
        <v>76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7"/>
    </row>
    <row r="21" spans="1:24" ht="17.25" x14ac:dyDescent="0.4">
      <c r="C21" s="129" t="s">
        <v>223</v>
      </c>
      <c r="D21" s="130" t="s">
        <v>220</v>
      </c>
      <c r="E21" s="9"/>
      <c r="F21" s="5" t="s">
        <v>54</v>
      </c>
      <c r="I21" s="115">
        <f>I40*'Wacc-ReleverBetaCalc'!$D$3</f>
        <v>311.76</v>
      </c>
      <c r="J21" s="115">
        <f>J40*'Wacc-ReleverBetaCalc'!$D$3</f>
        <v>0</v>
      </c>
      <c r="K21" s="115">
        <f>K40*'Wacc-ReleverBetaCalc'!$D$3</f>
        <v>0</v>
      </c>
      <c r="L21" s="115">
        <f>L40*'Wacc-ReleverBetaCalc'!$D$3</f>
        <v>0</v>
      </c>
      <c r="M21" s="115">
        <f>M40*'Wacc-ReleverBetaCalc'!$D$3</f>
        <v>0</v>
      </c>
      <c r="N21" s="115">
        <f>N40*'Wacc-ReleverBetaCalc'!$D$3</f>
        <v>0</v>
      </c>
      <c r="O21" s="115">
        <f>O40*'Wacc-ReleverBetaCalc'!$D$3</f>
        <v>0</v>
      </c>
      <c r="P21" s="115">
        <f>P40*'Wacc-ReleverBetaCalc'!$D$3</f>
        <v>0</v>
      </c>
      <c r="Q21" s="115">
        <f>Q40*'Wacc-ReleverBetaCalc'!$D$3</f>
        <v>0</v>
      </c>
      <c r="R21" s="115">
        <f>R40*'Wacc-ReleverBetaCalc'!$D$3</f>
        <v>0</v>
      </c>
      <c r="S21" s="115">
        <f>S40*'Wacc-ReleverBetaCalc'!$D$3</f>
        <v>0</v>
      </c>
      <c r="T21" s="115">
        <f>T40*'Wacc-ReleverBetaCalc'!$D$3</f>
        <v>0</v>
      </c>
      <c r="U21" s="115">
        <f>U40*'Wacc-ReleverBetaCalc'!$D$3</f>
        <v>0</v>
      </c>
      <c r="V21" s="115">
        <f>V40*'Wacc-ReleverBetaCalc'!$D$3</f>
        <v>0</v>
      </c>
      <c r="W21" s="115">
        <f>W40*'Wacc-ReleverBetaCalc'!$D$3</f>
        <v>0</v>
      </c>
      <c r="X21" s="7"/>
    </row>
    <row r="22" spans="1:24" x14ac:dyDescent="0.25">
      <c r="A22" s="1">
        <v>2013</v>
      </c>
      <c r="B22" s="19">
        <f>$A$20*I8</f>
        <v>1092.5</v>
      </c>
      <c r="C22" s="19">
        <f t="shared" ref="C22:C31" si="17">B22/12</f>
        <v>91.041666666666671</v>
      </c>
      <c r="D22" s="14">
        <f t="shared" ref="D22:D36" si="18">$A$20*365</f>
        <v>18.25</v>
      </c>
      <c r="F22" s="2" t="s">
        <v>77</v>
      </c>
      <c r="I22" s="102">
        <f>I21</f>
        <v>311.76</v>
      </c>
      <c r="J22" s="102">
        <f t="shared" ref="J22:W22" si="19">J21</f>
        <v>0</v>
      </c>
      <c r="K22" s="102">
        <f t="shared" si="19"/>
        <v>0</v>
      </c>
      <c r="L22" s="102">
        <f t="shared" si="19"/>
        <v>0</v>
      </c>
      <c r="M22" s="102">
        <f t="shared" si="19"/>
        <v>0</v>
      </c>
      <c r="N22" s="102">
        <f t="shared" si="19"/>
        <v>0</v>
      </c>
      <c r="O22" s="102">
        <f t="shared" si="19"/>
        <v>0</v>
      </c>
      <c r="P22" s="102">
        <f t="shared" si="19"/>
        <v>0</v>
      </c>
      <c r="Q22" s="102">
        <f t="shared" si="19"/>
        <v>0</v>
      </c>
      <c r="R22" s="102">
        <f t="shared" si="19"/>
        <v>0</v>
      </c>
      <c r="S22" s="102">
        <f t="shared" si="19"/>
        <v>0</v>
      </c>
      <c r="T22" s="102">
        <f t="shared" si="19"/>
        <v>0</v>
      </c>
      <c r="U22" s="102">
        <f t="shared" si="19"/>
        <v>0</v>
      </c>
      <c r="V22" s="102">
        <f t="shared" si="19"/>
        <v>0</v>
      </c>
      <c r="W22" s="102">
        <f t="shared" si="19"/>
        <v>0</v>
      </c>
      <c r="X22" s="7"/>
    </row>
    <row r="23" spans="1:24" x14ac:dyDescent="0.25">
      <c r="A23" s="1">
        <v>2014</v>
      </c>
      <c r="B23" s="6">
        <f>J8*$A$20</f>
        <v>1125.2750000000001</v>
      </c>
      <c r="C23" s="19">
        <f t="shared" si="17"/>
        <v>93.772916666666674</v>
      </c>
      <c r="D23" s="14">
        <f t="shared" si="18"/>
        <v>18.25</v>
      </c>
      <c r="F23" s="1" t="s">
        <v>10</v>
      </c>
      <c r="I23" s="23">
        <f>I19-I22</f>
        <v>-3907.51</v>
      </c>
      <c r="J23" s="23">
        <f>J10-J22</f>
        <v>22961.75</v>
      </c>
      <c r="K23" s="23">
        <f>K10-K22</f>
        <v>23636.915000000001</v>
      </c>
      <c r="L23" s="101">
        <f>L10-L22</f>
        <v>24332.334950000004</v>
      </c>
      <c r="M23" s="101">
        <f t="shared" ref="M23:U23" si="20">M10-M22</f>
        <v>25048.617498500003</v>
      </c>
      <c r="N23" s="101">
        <f t="shared" si="20"/>
        <v>25786.388523455007</v>
      </c>
      <c r="O23" s="101">
        <f t="shared" si="20"/>
        <v>26546.292679158661</v>
      </c>
      <c r="P23" s="101">
        <f t="shared" si="20"/>
        <v>27328.993959533422</v>
      </c>
      <c r="Q23" s="101">
        <f t="shared" si="20"/>
        <v>28135.176278319424</v>
      </c>
      <c r="R23" s="101">
        <f t="shared" si="20"/>
        <v>28965.544066669012</v>
      </c>
      <c r="S23" s="101">
        <f t="shared" si="20"/>
        <v>29820.822888669081</v>
      </c>
      <c r="T23" s="101">
        <f t="shared" si="20"/>
        <v>30701.760075329155</v>
      </c>
      <c r="U23" s="101">
        <f t="shared" si="20"/>
        <v>31609.125377589029</v>
      </c>
      <c r="V23" s="101">
        <f>V10-V22</f>
        <v>32543.711638916702</v>
      </c>
      <c r="W23" s="101">
        <f t="shared" ref="W23" si="21">W10-W22</f>
        <v>33506.335488084209</v>
      </c>
    </row>
    <row r="24" spans="1:24" x14ac:dyDescent="0.25">
      <c r="A24" s="1">
        <v>2015</v>
      </c>
      <c r="B24" s="6">
        <f>K8*$A$20</f>
        <v>1159.0332500000002</v>
      </c>
      <c r="C24" s="19">
        <f t="shared" si="17"/>
        <v>96.586104166666686</v>
      </c>
      <c r="D24" s="14">
        <f t="shared" si="18"/>
        <v>18.25</v>
      </c>
      <c r="F24" s="5" t="s">
        <v>11</v>
      </c>
      <c r="G24" s="5"/>
      <c r="I24" s="7">
        <f t="shared" ref="I24:W24" si="22">IF(I23&gt;0,I23*$B$44,0)</f>
        <v>0</v>
      </c>
      <c r="J24" s="7">
        <f t="shared" si="22"/>
        <v>8036.6124999999993</v>
      </c>
      <c r="K24" s="7">
        <f t="shared" si="22"/>
        <v>8272.9202499999992</v>
      </c>
      <c r="L24" s="20">
        <f t="shared" si="22"/>
        <v>8516.3172325000014</v>
      </c>
      <c r="M24" s="20">
        <f t="shared" si="22"/>
        <v>8767.0161244749997</v>
      </c>
      <c r="N24" s="20">
        <f t="shared" si="22"/>
        <v>9025.2359832092516</v>
      </c>
      <c r="O24" s="20">
        <f t="shared" si="22"/>
        <v>9291.2024377055313</v>
      </c>
      <c r="P24" s="20">
        <f t="shared" si="22"/>
        <v>9565.1478858366972</v>
      </c>
      <c r="Q24" s="20">
        <f t="shared" si="22"/>
        <v>9847.3116974117984</v>
      </c>
      <c r="R24" s="20">
        <f t="shared" si="22"/>
        <v>10137.940423334154</v>
      </c>
      <c r="S24" s="20">
        <f t="shared" si="22"/>
        <v>10437.288011034178</v>
      </c>
      <c r="T24" s="20">
        <f t="shared" si="22"/>
        <v>10745.616026365204</v>
      </c>
      <c r="U24" s="20">
        <f t="shared" si="22"/>
        <v>11063.19388215616</v>
      </c>
      <c r="V24" s="20">
        <f t="shared" si="22"/>
        <v>11390.299073620845</v>
      </c>
      <c r="W24" s="20">
        <f t="shared" si="22"/>
        <v>11727.217420829473</v>
      </c>
    </row>
    <row r="25" spans="1:24" ht="15.75" thickBot="1" x14ac:dyDescent="0.3">
      <c r="A25" s="1">
        <v>2016</v>
      </c>
      <c r="B25" s="6">
        <f>L8*$A$20</f>
        <v>1193.8042475000002</v>
      </c>
      <c r="C25" s="19">
        <f t="shared" si="17"/>
        <v>99.483687291666683</v>
      </c>
      <c r="D25" s="14">
        <f t="shared" si="18"/>
        <v>18.25</v>
      </c>
      <c r="F25" s="2" t="s">
        <v>12</v>
      </c>
      <c r="G25" s="2"/>
      <c r="I25" s="11">
        <f>I23-I24</f>
        <v>-3907.51</v>
      </c>
      <c r="J25" s="11">
        <f>J23-J24</f>
        <v>14925.137500000001</v>
      </c>
      <c r="K25" s="11">
        <f>K23-K24</f>
        <v>15363.994750000002</v>
      </c>
      <c r="L25" s="103">
        <f>L23-L24</f>
        <v>15816.017717500003</v>
      </c>
      <c r="M25" s="103">
        <f t="shared" ref="M25:U25" si="23">M23-M24</f>
        <v>16281.601374025004</v>
      </c>
      <c r="N25" s="103">
        <f t="shared" si="23"/>
        <v>16761.152540245756</v>
      </c>
      <c r="O25" s="103">
        <f t="shared" si="23"/>
        <v>17255.09024145313</v>
      </c>
      <c r="P25" s="103">
        <f t="shared" si="23"/>
        <v>17763.846073696724</v>
      </c>
      <c r="Q25" s="103">
        <f t="shared" si="23"/>
        <v>18287.864580907626</v>
      </c>
      <c r="R25" s="103">
        <f t="shared" si="23"/>
        <v>18827.603643334856</v>
      </c>
      <c r="S25" s="103">
        <f t="shared" si="23"/>
        <v>19383.534877634906</v>
      </c>
      <c r="T25" s="103">
        <f t="shared" si="23"/>
        <v>19956.14404896395</v>
      </c>
      <c r="U25" s="103">
        <f t="shared" si="23"/>
        <v>20545.931495432869</v>
      </c>
      <c r="V25" s="103">
        <f>V23-V24</f>
        <v>21153.412565295857</v>
      </c>
      <c r="W25" s="103">
        <f t="shared" ref="W25" si="24">W23-W24</f>
        <v>21779.118067254734</v>
      </c>
    </row>
    <row r="26" spans="1:24" ht="15.75" thickTop="1" x14ac:dyDescent="0.25">
      <c r="A26" s="1">
        <v>2017</v>
      </c>
      <c r="B26" s="6">
        <f>M8*$A$20</f>
        <v>1229.6183749250004</v>
      </c>
      <c r="C26" s="19">
        <f t="shared" si="17"/>
        <v>102.46819791041669</v>
      </c>
      <c r="D26" s="14">
        <f t="shared" si="18"/>
        <v>18.25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4" x14ac:dyDescent="0.25">
      <c r="A27" s="1">
        <v>2018</v>
      </c>
      <c r="B27" s="6">
        <f>N8*$A$20</f>
        <v>1266.5069261727504</v>
      </c>
      <c r="C27" s="19">
        <f t="shared" si="17"/>
        <v>105.5422438477292</v>
      </c>
      <c r="D27" s="14">
        <f t="shared" si="18"/>
        <v>18.25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4" x14ac:dyDescent="0.25">
      <c r="A28" s="1">
        <v>2019</v>
      </c>
      <c r="B28" s="6">
        <f>O8*$A$20</f>
        <v>1304.5021339579332</v>
      </c>
      <c r="C28" s="19">
        <f t="shared" si="17"/>
        <v>108.70851116316111</v>
      </c>
      <c r="D28" s="14">
        <f t="shared" si="18"/>
        <v>18.25</v>
      </c>
      <c r="F28" s="3" t="s">
        <v>13</v>
      </c>
      <c r="G28" s="3"/>
      <c r="H28" s="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4" x14ac:dyDescent="0.25">
      <c r="A29" s="1">
        <v>2020</v>
      </c>
      <c r="B29" s="6">
        <f>P8*$A$20</f>
        <v>1343.6371979766711</v>
      </c>
      <c r="C29" s="19">
        <f t="shared" si="17"/>
        <v>111.96976649805593</v>
      </c>
      <c r="D29" s="14">
        <f t="shared" si="18"/>
        <v>18.25</v>
      </c>
      <c r="F29" s="13" t="s">
        <v>190</v>
      </c>
      <c r="G29" s="13"/>
      <c r="H29" s="13"/>
      <c r="I29" s="42">
        <v>5000</v>
      </c>
      <c r="J29" s="42">
        <f>I29</f>
        <v>5000</v>
      </c>
      <c r="K29" s="42">
        <f t="shared" ref="K29:W29" si="25">J29</f>
        <v>5000</v>
      </c>
      <c r="L29" s="42">
        <f t="shared" si="25"/>
        <v>5000</v>
      </c>
      <c r="M29" s="42">
        <f t="shared" si="25"/>
        <v>5000</v>
      </c>
      <c r="N29" s="42">
        <f t="shared" si="25"/>
        <v>5000</v>
      </c>
      <c r="O29" s="42">
        <f t="shared" si="25"/>
        <v>5000</v>
      </c>
      <c r="P29" s="42">
        <f t="shared" si="25"/>
        <v>5000</v>
      </c>
      <c r="Q29" s="42">
        <f t="shared" si="25"/>
        <v>5000</v>
      </c>
      <c r="R29" s="42">
        <f t="shared" si="25"/>
        <v>5000</v>
      </c>
      <c r="S29" s="42">
        <f t="shared" si="25"/>
        <v>5000</v>
      </c>
      <c r="T29" s="42">
        <f t="shared" si="25"/>
        <v>5000</v>
      </c>
      <c r="U29" s="42">
        <f t="shared" si="25"/>
        <v>5000</v>
      </c>
      <c r="V29" s="42">
        <f t="shared" si="25"/>
        <v>5000</v>
      </c>
      <c r="W29" s="42">
        <f t="shared" si="25"/>
        <v>5000</v>
      </c>
    </row>
    <row r="30" spans="1:24" x14ac:dyDescent="0.25">
      <c r="A30" s="1">
        <v>2021</v>
      </c>
      <c r="B30" s="6">
        <f>Q8*$A$20</f>
        <v>1383.9463139159714</v>
      </c>
      <c r="C30" s="19">
        <f t="shared" si="17"/>
        <v>115.32885949299761</v>
      </c>
      <c r="D30" s="14">
        <f t="shared" si="18"/>
        <v>18.25</v>
      </c>
      <c r="F30" s="13" t="s">
        <v>213</v>
      </c>
      <c r="G30" s="13"/>
      <c r="H30" s="13"/>
      <c r="I30" s="42">
        <v>0</v>
      </c>
      <c r="J30" s="42">
        <f>18931+81</f>
        <v>19012</v>
      </c>
      <c r="K30" s="42">
        <v>38290</v>
      </c>
      <c r="L30" s="104">
        <f>57688+166</f>
        <v>57854</v>
      </c>
      <c r="M30" s="104">
        <v>77707</v>
      </c>
      <c r="N30" s="104">
        <v>97857</v>
      </c>
      <c r="O30" s="104">
        <v>118307</v>
      </c>
      <c r="P30" s="104">
        <v>139064</v>
      </c>
      <c r="Q30" s="104">
        <v>160133</v>
      </c>
      <c r="R30" s="104">
        <v>181518</v>
      </c>
      <c r="S30" s="104">
        <v>203225</v>
      </c>
      <c r="T30" s="104">
        <v>225260</v>
      </c>
      <c r="U30" s="104">
        <v>247627</v>
      </c>
      <c r="V30" s="104">
        <v>270331</v>
      </c>
      <c r="W30" s="104">
        <v>293377</v>
      </c>
    </row>
    <row r="31" spans="1:24" x14ac:dyDescent="0.25">
      <c r="A31" s="1">
        <v>2022</v>
      </c>
      <c r="B31" s="6">
        <f>R8*$A$20</f>
        <v>1425.4647033334506</v>
      </c>
      <c r="C31" s="19">
        <f t="shared" si="17"/>
        <v>118.78872527778755</v>
      </c>
      <c r="D31" s="14">
        <f t="shared" si="18"/>
        <v>18.25</v>
      </c>
      <c r="F31" s="13" t="s">
        <v>14</v>
      </c>
      <c r="G31" s="13"/>
      <c r="H31" s="13"/>
      <c r="I31" s="10">
        <f>C22</f>
        <v>91.041666666666671</v>
      </c>
      <c r="J31" s="10">
        <f>C23</f>
        <v>93.772916666666674</v>
      </c>
      <c r="K31" s="10">
        <f>C24</f>
        <v>96.586104166666686</v>
      </c>
      <c r="L31" s="85">
        <f>C25</f>
        <v>99.483687291666683</v>
      </c>
      <c r="M31" s="85">
        <f>C26</f>
        <v>102.46819791041669</v>
      </c>
      <c r="N31" s="85">
        <f>C27</f>
        <v>105.5422438477292</v>
      </c>
      <c r="O31" s="85">
        <f>C28</f>
        <v>108.70851116316111</v>
      </c>
      <c r="P31" s="85">
        <f>C29</f>
        <v>111.96976649805593</v>
      </c>
      <c r="Q31" s="85">
        <f>C30</f>
        <v>115.32885949299761</v>
      </c>
      <c r="R31" s="85">
        <f>C31</f>
        <v>118.78872527778755</v>
      </c>
      <c r="S31" s="85">
        <f>C32</f>
        <v>122.35238703612117</v>
      </c>
      <c r="T31" s="85">
        <f>C33</f>
        <v>126.02295864720482</v>
      </c>
      <c r="U31" s="85">
        <f>C34</f>
        <v>129.80364740662097</v>
      </c>
      <c r="V31" s="85">
        <f>C35</f>
        <v>133.69775682881959</v>
      </c>
      <c r="W31" s="85">
        <f>C36</f>
        <v>137.70868953368421</v>
      </c>
    </row>
    <row r="32" spans="1:24" x14ac:dyDescent="0.25">
      <c r="A32" s="1">
        <v>2023</v>
      </c>
      <c r="B32" s="6">
        <f>S8*$A$20</f>
        <v>1468.2286444334541</v>
      </c>
      <c r="C32" s="19">
        <f t="shared" ref="C32:C36" si="26">B32/12</f>
        <v>122.35238703612117</v>
      </c>
      <c r="D32" s="14">
        <f t="shared" si="18"/>
        <v>18.25</v>
      </c>
      <c r="F32" s="13" t="s">
        <v>89</v>
      </c>
      <c r="G32" s="13"/>
      <c r="H32" s="13"/>
      <c r="I32" s="20">
        <f t="shared" ref="I32:W32" si="27">$A$53</f>
        <v>247800</v>
      </c>
      <c r="J32" s="20">
        <f t="shared" si="27"/>
        <v>247800</v>
      </c>
      <c r="K32" s="20">
        <f t="shared" si="27"/>
        <v>247800</v>
      </c>
      <c r="L32" s="20">
        <f t="shared" si="27"/>
        <v>247800</v>
      </c>
      <c r="M32" s="20">
        <f t="shared" si="27"/>
        <v>247800</v>
      </c>
      <c r="N32" s="20">
        <f t="shared" si="27"/>
        <v>247800</v>
      </c>
      <c r="O32" s="20">
        <f t="shared" si="27"/>
        <v>247800</v>
      </c>
      <c r="P32" s="20">
        <f t="shared" si="27"/>
        <v>247800</v>
      </c>
      <c r="Q32" s="20">
        <f t="shared" si="27"/>
        <v>247800</v>
      </c>
      <c r="R32" s="20">
        <f t="shared" si="27"/>
        <v>247800</v>
      </c>
      <c r="S32" s="20">
        <f t="shared" si="27"/>
        <v>247800</v>
      </c>
      <c r="T32" s="20">
        <f t="shared" si="27"/>
        <v>247800</v>
      </c>
      <c r="U32" s="20">
        <f t="shared" si="27"/>
        <v>247800</v>
      </c>
      <c r="V32" s="20">
        <f t="shared" si="27"/>
        <v>247800</v>
      </c>
      <c r="W32" s="20">
        <f t="shared" si="27"/>
        <v>247800</v>
      </c>
    </row>
    <row r="33" spans="1:23" x14ac:dyDescent="0.25">
      <c r="A33" s="1">
        <v>2024</v>
      </c>
      <c r="B33" s="6">
        <f>T8*$A$20</f>
        <v>1512.2755037664579</v>
      </c>
      <c r="C33" s="19">
        <f t="shared" si="26"/>
        <v>126.02295864720482</v>
      </c>
      <c r="D33" s="14">
        <f t="shared" si="18"/>
        <v>18.25</v>
      </c>
      <c r="F33" s="5" t="s">
        <v>219</v>
      </c>
      <c r="G33" s="13"/>
      <c r="H33" s="13"/>
      <c r="I33" s="10">
        <f>-I17</f>
        <v>-7260</v>
      </c>
      <c r="J33" s="10">
        <f>I33-J17</f>
        <v>-14520</v>
      </c>
      <c r="K33" s="10">
        <f>J33-K17</f>
        <v>-21780</v>
      </c>
      <c r="L33" s="85">
        <f>K33-L17</f>
        <v>-29040</v>
      </c>
      <c r="M33" s="85">
        <f t="shared" ref="M33" si="28">L33-M17</f>
        <v>-36300</v>
      </c>
      <c r="N33" s="85">
        <f t="shared" ref="N33" si="29">M33-N17</f>
        <v>-43560</v>
      </c>
      <c r="O33" s="85">
        <f t="shared" ref="O33" si="30">N33-O17</f>
        <v>-50820</v>
      </c>
      <c r="P33" s="85">
        <f t="shared" ref="P33" si="31">O33-P17</f>
        <v>-58080</v>
      </c>
      <c r="Q33" s="85">
        <f t="shared" ref="Q33" si="32">P33-Q17</f>
        <v>-65340</v>
      </c>
      <c r="R33" s="85">
        <f t="shared" ref="R33" si="33">Q33-R17</f>
        <v>-72600</v>
      </c>
      <c r="S33" s="85">
        <f t="shared" ref="S33" si="34">R33-S17</f>
        <v>-79860</v>
      </c>
      <c r="T33" s="85">
        <f t="shared" ref="T33" si="35">S33-T17</f>
        <v>-87120</v>
      </c>
      <c r="U33" s="85">
        <f t="shared" ref="U33" si="36">T33-U17</f>
        <v>-94380</v>
      </c>
      <c r="V33" s="85">
        <f t="shared" ref="V33" si="37">U33-V17</f>
        <v>-101640</v>
      </c>
      <c r="W33" s="85">
        <f t="shared" ref="W33" si="38">V33-W17</f>
        <v>-108900</v>
      </c>
    </row>
    <row r="34" spans="1:23" ht="15.75" thickBot="1" x14ac:dyDescent="0.3">
      <c r="A34" s="1">
        <v>2025</v>
      </c>
      <c r="B34" s="6">
        <f>U8*$A$20</f>
        <v>1557.6437688794515</v>
      </c>
      <c r="C34" s="19">
        <f t="shared" si="26"/>
        <v>129.80364740662097</v>
      </c>
      <c r="D34" s="14">
        <f t="shared" si="18"/>
        <v>18.25</v>
      </c>
      <c r="F34" s="15" t="s">
        <v>15</v>
      </c>
      <c r="G34" s="5"/>
      <c r="H34" s="5"/>
      <c r="I34" s="137">
        <f>SUM(I29:I33)</f>
        <v>245631.04166666666</v>
      </c>
      <c r="J34" s="137">
        <f>SUM(J29:J33)</f>
        <v>257385.77291666664</v>
      </c>
      <c r="K34" s="137">
        <f t="shared" ref="K34:L34" si="39">SUM(K29:K33)</f>
        <v>269406.58610416669</v>
      </c>
      <c r="L34" s="137">
        <f t="shared" si="39"/>
        <v>281713.48368729168</v>
      </c>
      <c r="M34" s="137">
        <f t="shared" ref="M34:V34" si="40">SUM(M29:M33)</f>
        <v>294309.46819791041</v>
      </c>
      <c r="N34" s="137">
        <f t="shared" si="40"/>
        <v>307202.54224384774</v>
      </c>
      <c r="O34" s="137">
        <f t="shared" si="40"/>
        <v>320395.70851116313</v>
      </c>
      <c r="P34" s="137">
        <f t="shared" si="40"/>
        <v>333895.96976649808</v>
      </c>
      <c r="Q34" s="137">
        <f t="shared" si="40"/>
        <v>347708.32885949302</v>
      </c>
      <c r="R34" s="137">
        <f t="shared" si="40"/>
        <v>361836.78872527776</v>
      </c>
      <c r="S34" s="137">
        <f t="shared" si="40"/>
        <v>376287.35238703608</v>
      </c>
      <c r="T34" s="137">
        <f t="shared" si="40"/>
        <v>391066.02295864723</v>
      </c>
      <c r="U34" s="137">
        <f t="shared" si="40"/>
        <v>406176.80364740663</v>
      </c>
      <c r="V34" s="137">
        <f t="shared" si="40"/>
        <v>421624.6977568288</v>
      </c>
      <c r="W34" s="137">
        <f t="shared" ref="W34" si="41">SUM(W29:W33)</f>
        <v>437414.70868953364</v>
      </c>
    </row>
    <row r="35" spans="1:23" ht="15.75" thickTop="1" x14ac:dyDescent="0.25">
      <c r="A35" s="1">
        <v>2026</v>
      </c>
      <c r="B35" s="6">
        <f>V8*$A$20</f>
        <v>1604.3730819458351</v>
      </c>
      <c r="C35" s="19">
        <f t="shared" si="26"/>
        <v>133.69775682881959</v>
      </c>
      <c r="D35" s="14">
        <f t="shared" si="18"/>
        <v>18.25</v>
      </c>
      <c r="G35" s="15"/>
      <c r="H35" s="15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x14ac:dyDescent="0.25">
      <c r="A36" s="1">
        <v>2027</v>
      </c>
      <c r="B36" s="6">
        <f>W8*$A$20</f>
        <v>1652.5042744042105</v>
      </c>
      <c r="C36" s="19">
        <f t="shared" si="26"/>
        <v>137.70868953368421</v>
      </c>
      <c r="D36" s="14">
        <f t="shared" si="18"/>
        <v>18.25</v>
      </c>
      <c r="F36" s="3" t="s">
        <v>16</v>
      </c>
      <c r="G36" s="3"/>
      <c r="H36" s="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x14ac:dyDescent="0.25">
      <c r="F37" s="17" t="s">
        <v>17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x14ac:dyDescent="0.25">
      <c r="A38" s="2" t="s">
        <v>36</v>
      </c>
      <c r="C38" s="2"/>
      <c r="F38" s="13" t="s">
        <v>90</v>
      </c>
      <c r="G38" s="13"/>
      <c r="H38" s="13"/>
      <c r="I38" s="43">
        <f>I24</f>
        <v>0</v>
      </c>
      <c r="J38" s="43">
        <f>J24</f>
        <v>8036.6124999999993</v>
      </c>
      <c r="K38" s="43">
        <f>K24</f>
        <v>8272.9202499999992</v>
      </c>
      <c r="L38" s="85">
        <f>L24</f>
        <v>8516.3172325000014</v>
      </c>
      <c r="M38" s="85">
        <f t="shared" ref="M38:U38" si="42">M24</f>
        <v>8767.0161244749997</v>
      </c>
      <c r="N38" s="85">
        <f t="shared" si="42"/>
        <v>9025.2359832092516</v>
      </c>
      <c r="O38" s="85">
        <f t="shared" si="42"/>
        <v>9291.2024377055313</v>
      </c>
      <c r="P38" s="85">
        <f t="shared" si="42"/>
        <v>9565.1478858366972</v>
      </c>
      <c r="Q38" s="85">
        <f t="shared" si="42"/>
        <v>9847.3116974117984</v>
      </c>
      <c r="R38" s="85">
        <f t="shared" si="42"/>
        <v>10137.940423334154</v>
      </c>
      <c r="S38" s="85">
        <f t="shared" si="42"/>
        <v>10437.288011034178</v>
      </c>
      <c r="T38" s="85">
        <f t="shared" si="42"/>
        <v>10745.616026365204</v>
      </c>
      <c r="U38" s="85">
        <f t="shared" si="42"/>
        <v>11063.19388215616</v>
      </c>
      <c r="V38" s="85">
        <f>V24</f>
        <v>11390.299073620845</v>
      </c>
      <c r="W38" s="85">
        <f t="shared" ref="W38" si="43">W24</f>
        <v>11727.217420829473</v>
      </c>
    </row>
    <row r="39" spans="1:23" x14ac:dyDescent="0.25">
      <c r="A39" s="19">
        <v>275</v>
      </c>
      <c r="B39" s="9" t="s">
        <v>3</v>
      </c>
      <c r="C39" s="45">
        <v>0.03</v>
      </c>
      <c r="D39" s="1" t="s">
        <v>99</v>
      </c>
      <c r="F39" s="13" t="s">
        <v>0</v>
      </c>
      <c r="G39" s="13"/>
      <c r="I39" s="10">
        <f>Amortization!F5</f>
        <v>216744.88</v>
      </c>
      <c r="J39" s="10">
        <f>Amortization!F6</f>
        <v>213331.56116800001</v>
      </c>
      <c r="K39" s="10">
        <f>Amortization!F7</f>
        <v>209752.35504076481</v>
      </c>
      <c r="L39" s="10">
        <f>Amortization!F8</f>
        <v>205999.199495746</v>
      </c>
      <c r="M39" s="10">
        <f>Amortization!F9</f>
        <v>202063.64059123927</v>
      </c>
      <c r="N39" s="85">
        <f>Amortization!F10</f>
        <v>197936.81352397348</v>
      </c>
      <c r="O39" s="85">
        <f>Amortization!F11</f>
        <v>193609.42266123858</v>
      </c>
      <c r="P39" s="85">
        <f>Amortization!F12</f>
        <v>189071.72060257479</v>
      </c>
      <c r="Q39" s="85">
        <f>Amortization!F13</f>
        <v>184313.48622385992</v>
      </c>
      <c r="R39" s="85">
        <f>Amortization!F14</f>
        <v>179324.00165433952</v>
      </c>
      <c r="S39" s="85">
        <f>Amortization!F15</f>
        <v>174092.02813474042</v>
      </c>
      <c r="T39" s="85">
        <f>Amortization!F16</f>
        <v>168605.78070208881</v>
      </c>
      <c r="U39" s="85">
        <f>Amortization!F17</f>
        <v>162852.90164421033</v>
      </c>
      <c r="V39" s="85">
        <f>Amortization!F18</f>
        <v>156820.43266411894</v>
      </c>
      <c r="W39" s="85">
        <f>Amortization!F19</f>
        <v>150494.78569159511</v>
      </c>
    </row>
    <row r="40" spans="1:23" x14ac:dyDescent="0.25">
      <c r="A40" s="2" t="s">
        <v>37</v>
      </c>
      <c r="B40" s="9"/>
      <c r="C40" s="2"/>
      <c r="F40" s="13" t="s">
        <v>18</v>
      </c>
      <c r="G40" s="13"/>
      <c r="I40" s="37">
        <v>7794</v>
      </c>
      <c r="J40" s="37">
        <v>0</v>
      </c>
      <c r="K40" s="37">
        <v>0</v>
      </c>
      <c r="L40" s="104">
        <v>0</v>
      </c>
      <c r="M40" s="104">
        <v>0</v>
      </c>
      <c r="N40" s="104">
        <v>0</v>
      </c>
      <c r="O40" s="104">
        <v>0</v>
      </c>
      <c r="P40" s="104">
        <v>0</v>
      </c>
      <c r="Q40" s="104">
        <v>0</v>
      </c>
      <c r="R40" s="104">
        <v>0</v>
      </c>
      <c r="S40" s="104">
        <v>0</v>
      </c>
      <c r="T40" s="104">
        <v>0</v>
      </c>
      <c r="U40" s="104">
        <v>0</v>
      </c>
      <c r="V40" s="104">
        <v>0</v>
      </c>
      <c r="W40" s="104">
        <v>0</v>
      </c>
    </row>
    <row r="41" spans="1:23" x14ac:dyDescent="0.25">
      <c r="A41" s="1">
        <v>12</v>
      </c>
      <c r="B41" s="9" t="s">
        <v>38</v>
      </c>
      <c r="C41" s="2"/>
      <c r="F41" s="24" t="s">
        <v>19</v>
      </c>
      <c r="I41" s="135">
        <f>SUM(I38:I40)</f>
        <v>224538.88</v>
      </c>
      <c r="J41" s="135">
        <f>SUM(J38:J40)</f>
        <v>221368.173668</v>
      </c>
      <c r="K41" s="135">
        <f>SUM(K38:K40)</f>
        <v>218025.27529076481</v>
      </c>
      <c r="L41" s="135">
        <f>SUM(L38:L40)</f>
        <v>214515.516728246</v>
      </c>
      <c r="M41" s="135">
        <f t="shared" ref="M41:U41" si="44">SUM(M38:M40)</f>
        <v>210830.65671571426</v>
      </c>
      <c r="N41" s="135">
        <f t="shared" si="44"/>
        <v>206962.04950718273</v>
      </c>
      <c r="O41" s="135">
        <f t="shared" si="44"/>
        <v>202900.62509894412</v>
      </c>
      <c r="P41" s="135">
        <f t="shared" si="44"/>
        <v>198636.86848841148</v>
      </c>
      <c r="Q41" s="135">
        <f t="shared" si="44"/>
        <v>194160.7979212717</v>
      </c>
      <c r="R41" s="135">
        <f t="shared" si="44"/>
        <v>189461.94207767368</v>
      </c>
      <c r="S41" s="135">
        <f t="shared" si="44"/>
        <v>184529.31614577459</v>
      </c>
      <c r="T41" s="135">
        <f t="shared" si="44"/>
        <v>179351.39672845401</v>
      </c>
      <c r="U41" s="135">
        <f t="shared" si="44"/>
        <v>173916.09552636649</v>
      </c>
      <c r="V41" s="135">
        <f>SUM(V38:V40)</f>
        <v>168210.73173773978</v>
      </c>
      <c r="W41" s="135">
        <f t="shared" ref="W41" si="45">SUM(W38:W40)</f>
        <v>162222.00311242457</v>
      </c>
    </row>
    <row r="42" spans="1:23" x14ac:dyDescent="0.25">
      <c r="A42" s="2" t="s">
        <v>40</v>
      </c>
      <c r="B42" s="9"/>
      <c r="C42" s="2"/>
      <c r="F42" s="17" t="s">
        <v>91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 x14ac:dyDescent="0.25">
      <c r="A43" s="2"/>
      <c r="B43" s="9"/>
      <c r="C43" s="2"/>
      <c r="F43" s="13" t="s">
        <v>92</v>
      </c>
      <c r="I43" s="19">
        <f t="shared" ref="I43:W43" si="46">$A$60</f>
        <v>25000</v>
      </c>
      <c r="J43" s="20">
        <f t="shared" si="46"/>
        <v>25000</v>
      </c>
      <c r="K43" s="20">
        <f t="shared" si="46"/>
        <v>25000</v>
      </c>
      <c r="L43" s="20">
        <f t="shared" si="46"/>
        <v>25000</v>
      </c>
      <c r="M43" s="20">
        <f t="shared" si="46"/>
        <v>25000</v>
      </c>
      <c r="N43" s="20">
        <f t="shared" si="46"/>
        <v>25000</v>
      </c>
      <c r="O43" s="20">
        <f t="shared" si="46"/>
        <v>25000</v>
      </c>
      <c r="P43" s="20">
        <f t="shared" si="46"/>
        <v>25000</v>
      </c>
      <c r="Q43" s="20">
        <f t="shared" si="46"/>
        <v>25000</v>
      </c>
      <c r="R43" s="20">
        <f t="shared" si="46"/>
        <v>25000</v>
      </c>
      <c r="S43" s="20">
        <f t="shared" si="46"/>
        <v>25000</v>
      </c>
      <c r="T43" s="20">
        <f t="shared" si="46"/>
        <v>25000</v>
      </c>
      <c r="U43" s="20">
        <f t="shared" si="46"/>
        <v>25000</v>
      </c>
      <c r="V43" s="20">
        <f t="shared" si="46"/>
        <v>25000</v>
      </c>
      <c r="W43" s="20">
        <f t="shared" si="46"/>
        <v>25000</v>
      </c>
    </row>
    <row r="44" spans="1:23" x14ac:dyDescent="0.25">
      <c r="A44" s="3" t="s">
        <v>79</v>
      </c>
      <c r="B44" s="32">
        <v>0.35</v>
      </c>
      <c r="C44" s="2"/>
      <c r="F44" s="13" t="s">
        <v>93</v>
      </c>
      <c r="H44" s="10"/>
      <c r="I44" s="20">
        <f>I25</f>
        <v>-3907.51</v>
      </c>
      <c r="J44" s="20">
        <f>I44+J25</f>
        <v>11017.627500000001</v>
      </c>
      <c r="K44" s="20">
        <f t="shared" ref="K44:L44" si="47">J44+K25</f>
        <v>26381.62225</v>
      </c>
      <c r="L44" s="20">
        <f t="shared" si="47"/>
        <v>42197.639967499999</v>
      </c>
      <c r="M44" s="20">
        <f t="shared" ref="M44" si="48">L44+M25</f>
        <v>58479.241341525005</v>
      </c>
      <c r="N44" s="20">
        <f t="shared" ref="N44" si="49">M44+N25</f>
        <v>75240.393881770753</v>
      </c>
      <c r="O44" s="20">
        <f t="shared" ref="O44" si="50">N44+O25</f>
        <v>92495.484123223883</v>
      </c>
      <c r="P44" s="20">
        <f t="shared" ref="P44" si="51">O44+P25</f>
        <v>110259.33019692061</v>
      </c>
      <c r="Q44" s="20">
        <f t="shared" ref="Q44" si="52">P44+Q25</f>
        <v>128547.19477782823</v>
      </c>
      <c r="R44" s="20">
        <f t="shared" ref="R44" si="53">Q44+R25</f>
        <v>147374.79842116308</v>
      </c>
      <c r="S44" s="20">
        <f t="shared" ref="S44" si="54">R44+S25</f>
        <v>166758.33329879798</v>
      </c>
      <c r="T44" s="20">
        <f t="shared" ref="T44" si="55">S44+T25</f>
        <v>186714.47734776192</v>
      </c>
      <c r="U44" s="20">
        <f t="shared" ref="U44" si="56">T44+U25</f>
        <v>207260.40884319477</v>
      </c>
      <c r="V44" s="20">
        <f t="shared" ref="V44" si="57">U44+V25</f>
        <v>228413.82140849062</v>
      </c>
      <c r="W44" s="20">
        <f t="shared" ref="W44" si="58">V44+W25</f>
        <v>250192.93947574537</v>
      </c>
    </row>
    <row r="45" spans="1:23" x14ac:dyDescent="0.25">
      <c r="A45" s="3" t="s">
        <v>39</v>
      </c>
      <c r="B45" s="124">
        <v>1200</v>
      </c>
      <c r="C45" s="9" t="s">
        <v>41</v>
      </c>
      <c r="F45" s="24" t="s">
        <v>20</v>
      </c>
      <c r="H45" s="10"/>
      <c r="I45" s="44">
        <f>SUM(I43:I44)</f>
        <v>21092.489999999998</v>
      </c>
      <c r="J45" s="44">
        <f t="shared" ref="J45:L45" si="59">SUM(J43:J44)</f>
        <v>36017.627500000002</v>
      </c>
      <c r="K45" s="44">
        <f t="shared" si="59"/>
        <v>51381.62225</v>
      </c>
      <c r="L45" s="44">
        <f t="shared" si="59"/>
        <v>67197.639967499999</v>
      </c>
      <c r="M45" s="44">
        <f t="shared" ref="M45:V45" si="60">SUM(M43:M44)</f>
        <v>83479.241341525005</v>
      </c>
      <c r="N45" s="44">
        <f t="shared" si="60"/>
        <v>100240.39388177075</v>
      </c>
      <c r="O45" s="44">
        <f t="shared" si="60"/>
        <v>117495.48412322388</v>
      </c>
      <c r="P45" s="44">
        <f t="shared" si="60"/>
        <v>135259.33019692061</v>
      </c>
      <c r="Q45" s="44">
        <f t="shared" si="60"/>
        <v>153547.19477782823</v>
      </c>
      <c r="R45" s="44">
        <f t="shared" si="60"/>
        <v>172374.79842116308</v>
      </c>
      <c r="S45" s="44">
        <f t="shared" si="60"/>
        <v>191758.33329879798</v>
      </c>
      <c r="T45" s="44">
        <f t="shared" si="60"/>
        <v>211714.47734776192</v>
      </c>
      <c r="U45" s="44">
        <f t="shared" si="60"/>
        <v>232260.40884319477</v>
      </c>
      <c r="V45" s="44">
        <f t="shared" si="60"/>
        <v>253413.82140849062</v>
      </c>
      <c r="W45" s="44">
        <f t="shared" ref="W45" si="61">SUM(W43:W44)</f>
        <v>275192.93947574537</v>
      </c>
    </row>
    <row r="46" spans="1:23" ht="15.75" thickBot="1" x14ac:dyDescent="0.3">
      <c r="F46" s="2" t="s">
        <v>21</v>
      </c>
      <c r="G46" s="2"/>
      <c r="H46" s="10"/>
      <c r="I46" s="136">
        <f>I41+I45</f>
        <v>245631.37</v>
      </c>
      <c r="J46" s="136">
        <f>J41+J45</f>
        <v>257385.80116800001</v>
      </c>
      <c r="K46" s="136">
        <f t="shared" ref="K46:L46" si="62">K41+K45</f>
        <v>269406.89754076482</v>
      </c>
      <c r="L46" s="136">
        <f t="shared" si="62"/>
        <v>281713.156695746</v>
      </c>
      <c r="M46" s="136">
        <f t="shared" ref="M46:V46" si="63">M41+M45</f>
        <v>294309.89805723925</v>
      </c>
      <c r="N46" s="136">
        <f t="shared" si="63"/>
        <v>307202.44338895346</v>
      </c>
      <c r="O46" s="136">
        <f t="shared" si="63"/>
        <v>320396.10922216799</v>
      </c>
      <c r="P46" s="136">
        <f t="shared" si="63"/>
        <v>333896.19868533209</v>
      </c>
      <c r="Q46" s="136">
        <f t="shared" si="63"/>
        <v>347707.99269909994</v>
      </c>
      <c r="R46" s="136">
        <f t="shared" si="63"/>
        <v>361836.74049883673</v>
      </c>
      <c r="S46" s="136">
        <f t="shared" si="63"/>
        <v>376287.64944457257</v>
      </c>
      <c r="T46" s="136">
        <f t="shared" si="63"/>
        <v>391065.8740762159</v>
      </c>
      <c r="U46" s="136">
        <f t="shared" si="63"/>
        <v>406176.50436956127</v>
      </c>
      <c r="V46" s="136">
        <f t="shared" si="63"/>
        <v>421624.55314623041</v>
      </c>
      <c r="W46" s="136">
        <f t="shared" ref="W46" si="64">W41+W45</f>
        <v>437414.94258816994</v>
      </c>
    </row>
    <row r="47" spans="1:23" ht="15.75" thickTop="1" x14ac:dyDescent="0.25">
      <c r="A47" s="3" t="s">
        <v>80</v>
      </c>
      <c r="B47" s="124">
        <v>3400</v>
      </c>
      <c r="C47" s="126" t="s">
        <v>41</v>
      </c>
      <c r="H47" s="1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 x14ac:dyDescent="0.25">
      <c r="F48" s="1" t="s">
        <v>22</v>
      </c>
      <c r="H48" s="10"/>
      <c r="I48" s="20">
        <f>I34-I46</f>
        <v>-0.328333333338378</v>
      </c>
      <c r="J48" s="20">
        <f t="shared" ref="J48:W48" si="65">J34-J46</f>
        <v>-2.8251333365915343E-2</v>
      </c>
      <c r="K48" s="20">
        <f t="shared" si="65"/>
        <v>-0.31143659813096747</v>
      </c>
      <c r="L48" s="20">
        <f t="shared" si="65"/>
        <v>0.3269915456767194</v>
      </c>
      <c r="M48" s="20">
        <f t="shared" si="65"/>
        <v>-0.42985932884039357</v>
      </c>
      <c r="N48" s="20">
        <f t="shared" si="65"/>
        <v>9.8854894284158945E-2</v>
      </c>
      <c r="O48" s="20">
        <f t="shared" si="65"/>
        <v>-0.40071100485511124</v>
      </c>
      <c r="P48" s="20">
        <f t="shared" si="65"/>
        <v>-0.22891883400734514</v>
      </c>
      <c r="Q48" s="20">
        <f t="shared" si="65"/>
        <v>0.33616039308253676</v>
      </c>
      <c r="R48" s="20">
        <f t="shared" si="65"/>
        <v>4.8226441023871303E-2</v>
      </c>
      <c r="S48" s="20">
        <f t="shared" si="65"/>
        <v>-0.29705753648886457</v>
      </c>
      <c r="T48" s="20">
        <f t="shared" si="65"/>
        <v>0.14888243132736534</v>
      </c>
      <c r="U48" s="20">
        <f t="shared" si="65"/>
        <v>0.29927784536266699</v>
      </c>
      <c r="V48" s="20">
        <f t="shared" si="65"/>
        <v>0.14461059839231893</v>
      </c>
      <c r="W48" s="20">
        <f t="shared" si="65"/>
        <v>-0.23389863630291075</v>
      </c>
    </row>
    <row r="49" spans="1:23" x14ac:dyDescent="0.25">
      <c r="A49" s="3" t="s">
        <v>42</v>
      </c>
      <c r="B49" s="124">
        <v>50</v>
      </c>
      <c r="C49" s="12" t="s">
        <v>32</v>
      </c>
      <c r="H49" s="1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3" x14ac:dyDescent="0.25">
      <c r="F50" s="1" t="s">
        <v>23</v>
      </c>
      <c r="H50" s="10"/>
      <c r="I50" s="114">
        <v>0</v>
      </c>
      <c r="J50" s="114">
        <f t="shared" ref="J50:L50" si="66">SUM(J29:J31)/J38</f>
        <v>2.9994942417177222</v>
      </c>
      <c r="K50" s="114">
        <f t="shared" si="66"/>
        <v>5.2444100502681223</v>
      </c>
      <c r="L50" s="114">
        <f t="shared" si="66"/>
        <v>7.392101769888086</v>
      </c>
      <c r="M50" s="114">
        <f t="shared" ref="M50:V50" si="67">SUM(M29:M31)/M38</f>
        <v>9.445570422384657</v>
      </c>
      <c r="N50" s="114">
        <f t="shared" si="67"/>
        <v>11.408293637462945</v>
      </c>
      <c r="O50" s="114">
        <f t="shared" si="67"/>
        <v>13.283071737875163</v>
      </c>
      <c r="P50" s="114">
        <f t="shared" si="67"/>
        <v>15.073051821810539</v>
      </c>
      <c r="Q50" s="114">
        <f t="shared" si="67"/>
        <v>16.781060043313726</v>
      </c>
      <c r="R50" s="114">
        <f t="shared" si="67"/>
        <v>18.409734219359013</v>
      </c>
      <c r="S50" s="114">
        <f t="shared" si="67"/>
        <v>19.96182841431354</v>
      </c>
      <c r="T50" s="114">
        <f t="shared" si="67"/>
        <v>21.440001428803821</v>
      </c>
      <c r="U50" s="114">
        <f t="shared" si="67"/>
        <v>22.846639617794136</v>
      </c>
      <c r="V50" s="114">
        <f t="shared" si="67"/>
        <v>24.184149685304245</v>
      </c>
      <c r="W50" s="114">
        <f t="shared" ref="W50" si="68">SUM(W29:W31)/W38</f>
        <v>25.454862647922116</v>
      </c>
    </row>
    <row r="51" spans="1:23" x14ac:dyDescent="0.25">
      <c r="A51" s="3" t="s">
        <v>43</v>
      </c>
      <c r="D51" s="14"/>
      <c r="F51" s="1" t="s">
        <v>24</v>
      </c>
      <c r="H51" s="10"/>
      <c r="I51" s="114">
        <f>(SUM(I39:I40))/I45</f>
        <v>10.64544205070146</v>
      </c>
      <c r="J51" s="114">
        <f>(SUM(J39:J40))/J45</f>
        <v>5.9229764972165366</v>
      </c>
      <c r="K51" s="114">
        <f>(SUM(K39:K40))/K45</f>
        <v>4.0822446987018752</v>
      </c>
      <c r="L51" s="114">
        <f>(SUM(L39:L40))/L45</f>
        <v>3.0655719396600398</v>
      </c>
      <c r="M51" s="114">
        <f>(SUM(M39:M40))/M45</f>
        <v>2.4205255982690264</v>
      </c>
      <c r="N51" s="114">
        <f t="shared" ref="N51:V51" si="69">(SUM(N39:N40))/N45</f>
        <v>1.9746212665268601</v>
      </c>
      <c r="O51" s="114">
        <f t="shared" si="69"/>
        <v>1.6478030973359783</v>
      </c>
      <c r="P51" s="114">
        <f t="shared" si="69"/>
        <v>1.3978460511915156</v>
      </c>
      <c r="Q51" s="114">
        <f t="shared" si="69"/>
        <v>1.2003702606911726</v>
      </c>
      <c r="R51" s="114">
        <f t="shared" si="69"/>
        <v>1.0403144966481555</v>
      </c>
      <c r="S51" s="114">
        <f t="shared" si="69"/>
        <v>0.90787203424150587</v>
      </c>
      <c r="T51" s="114">
        <f t="shared" si="69"/>
        <v>0.79638285871748482</v>
      </c>
      <c r="U51" s="114">
        <f t="shared" si="69"/>
        <v>0.70116513811080339</v>
      </c>
      <c r="V51" s="114">
        <f t="shared" si="69"/>
        <v>0.61883141098027217</v>
      </c>
      <c r="W51" s="114">
        <f>(SUM(W39:W40))/W45</f>
        <v>0.54687008314346397</v>
      </c>
    </row>
    <row r="52" spans="1:23" x14ac:dyDescent="0.25">
      <c r="A52" s="1" t="s">
        <v>44</v>
      </c>
      <c r="B52" s="1">
        <v>30</v>
      </c>
      <c r="C52" s="1" t="s">
        <v>81</v>
      </c>
      <c r="F52" s="1" t="s">
        <v>25</v>
      </c>
      <c r="I52" s="116">
        <f>I25/I34</f>
        <v>-1.5908046366968076E-2</v>
      </c>
      <c r="J52" s="116">
        <f t="shared" ref="J52:L52" si="70">J25/J34</f>
        <v>5.7987422268410645E-2</v>
      </c>
      <c r="K52" s="116">
        <f t="shared" si="70"/>
        <v>5.7029024316649322E-2</v>
      </c>
      <c r="L52" s="116">
        <f t="shared" si="70"/>
        <v>5.6142210555516533E-2</v>
      </c>
      <c r="M52" s="116">
        <f t="shared" ref="M52:V52" si="71">M25/M34</f>
        <v>5.5321364527342799E-2</v>
      </c>
      <c r="N52" s="116">
        <f t="shared" si="71"/>
        <v>5.4560591907280763E-2</v>
      </c>
      <c r="O52" s="116">
        <f t="shared" si="71"/>
        <v>5.385555980645082E-2</v>
      </c>
      <c r="P52" s="116">
        <f t="shared" si="71"/>
        <v>5.3201738511906668E-2</v>
      </c>
      <c r="Q52" s="116">
        <f t="shared" si="71"/>
        <v>5.2595417086766565E-2</v>
      </c>
      <c r="R52" s="116">
        <f t="shared" si="71"/>
        <v>5.2033414594638117E-2</v>
      </c>
      <c r="S52" s="116">
        <f t="shared" si="71"/>
        <v>5.1512586736366509E-2</v>
      </c>
      <c r="T52" s="116">
        <f t="shared" si="71"/>
        <v>5.1030114807683477E-2</v>
      </c>
      <c r="U52" s="116">
        <f t="shared" si="71"/>
        <v>5.0583714557142341E-2</v>
      </c>
      <c r="V52" s="116">
        <f t="shared" si="71"/>
        <v>5.0171189396253174E-2</v>
      </c>
      <c r="W52" s="116">
        <f t="shared" ref="W52" si="72">W25/W34</f>
        <v>4.979054804193387E-2</v>
      </c>
    </row>
    <row r="53" spans="1:23" x14ac:dyDescent="0.25">
      <c r="A53" s="19">
        <f>239000+8800</f>
        <v>247800</v>
      </c>
      <c r="B53" s="1" t="s">
        <v>82</v>
      </c>
      <c r="F53" s="1" t="s">
        <v>26</v>
      </c>
      <c r="I53" s="116">
        <f>I25/I45</f>
        <v>-0.18525598447599126</v>
      </c>
      <c r="J53" s="116">
        <f t="shared" ref="J53:L53" si="73">J25/J45</f>
        <v>0.41438424837949139</v>
      </c>
      <c r="K53" s="116">
        <f t="shared" si="73"/>
        <v>0.29901731547606014</v>
      </c>
      <c r="L53" s="116">
        <f t="shared" si="73"/>
        <v>0.23536567244250522</v>
      </c>
      <c r="M53" s="116">
        <f t="shared" ref="M53:V53" si="74">M25/M45</f>
        <v>0.19503772569535871</v>
      </c>
      <c r="N53" s="116">
        <f t="shared" si="74"/>
        <v>0.16720956384124763</v>
      </c>
      <c r="O53" s="116">
        <f t="shared" si="74"/>
        <v>0.14685747601462523</v>
      </c>
      <c r="P53" s="116">
        <f t="shared" si="74"/>
        <v>0.13133176134936345</v>
      </c>
      <c r="Q53" s="116">
        <f t="shared" si="74"/>
        <v>0.11910256392094205</v>
      </c>
      <c r="R53" s="116">
        <f t="shared" si="74"/>
        <v>0.10922480441330756</v>
      </c>
      <c r="S53" s="116">
        <f t="shared" si="74"/>
        <v>0.10108314222480995</v>
      </c>
      <c r="T53" s="116">
        <f t="shared" si="74"/>
        <v>9.4259704385657173E-2</v>
      </c>
      <c r="U53" s="116">
        <f t="shared" si="74"/>
        <v>8.8460756604040847E-2</v>
      </c>
      <c r="V53" s="116">
        <f t="shared" si="74"/>
        <v>8.3473791791322999E-2</v>
      </c>
      <c r="W53" s="116">
        <f t="shared" ref="W53" si="75">W25/W45</f>
        <v>7.9141267609354041E-2</v>
      </c>
    </row>
    <row r="54" spans="1:23" x14ac:dyDescent="0.25">
      <c r="A54" s="35">
        <v>30000</v>
      </c>
      <c r="B54" s="1" t="s">
        <v>83</v>
      </c>
    </row>
    <row r="55" spans="1:23" x14ac:dyDescent="0.25">
      <c r="A55" s="124">
        <f>(A53-A54)/B52</f>
        <v>7260</v>
      </c>
      <c r="B55" s="1" t="s">
        <v>221</v>
      </c>
      <c r="F55" s="51"/>
      <c r="G55" s="52"/>
      <c r="H55" s="53"/>
      <c r="I55" s="53"/>
      <c r="J55" s="53"/>
      <c r="K55" s="53"/>
    </row>
    <row r="56" spans="1:23" x14ac:dyDescent="0.25">
      <c r="F56" s="53"/>
      <c r="G56" s="53"/>
      <c r="H56" s="53"/>
      <c r="I56" s="53"/>
      <c r="J56" s="53"/>
      <c r="K56" s="53"/>
    </row>
    <row r="57" spans="1:23" x14ac:dyDescent="0.25">
      <c r="A57" s="2" t="s">
        <v>84</v>
      </c>
    </row>
    <row r="59" spans="1:23" x14ac:dyDescent="0.25">
      <c r="A59" s="2" t="s">
        <v>94</v>
      </c>
    </row>
    <row r="60" spans="1:23" s="80" customFormat="1" x14ac:dyDescent="0.25">
      <c r="A60" s="127">
        <v>25000</v>
      </c>
      <c r="B60" s="128" t="s">
        <v>222</v>
      </c>
      <c r="L60" s="105"/>
    </row>
    <row r="61" spans="1:23" x14ac:dyDescent="0.25">
      <c r="E61" s="20"/>
      <c r="F61" s="20"/>
      <c r="G61" s="20"/>
      <c r="H61" s="84" t="s">
        <v>202</v>
      </c>
      <c r="I61" s="95">
        <v>2013</v>
      </c>
      <c r="J61" s="95">
        <v>2014</v>
      </c>
      <c r="K61" s="95">
        <v>2015</v>
      </c>
      <c r="L61" s="95">
        <v>2016</v>
      </c>
      <c r="M61" s="95">
        <v>2017</v>
      </c>
      <c r="N61" s="95">
        <v>2018</v>
      </c>
      <c r="O61" s="95">
        <v>2019</v>
      </c>
      <c r="P61" s="95">
        <v>2020</v>
      </c>
      <c r="Q61" s="95">
        <v>2021</v>
      </c>
      <c r="R61" s="95">
        <v>2022</v>
      </c>
      <c r="S61" s="95">
        <v>2023</v>
      </c>
      <c r="T61" s="95">
        <v>2024</v>
      </c>
      <c r="U61" s="95">
        <v>2025</v>
      </c>
      <c r="V61" s="95">
        <v>2026</v>
      </c>
      <c r="W61" s="95">
        <v>2027</v>
      </c>
    </row>
    <row r="62" spans="1:23" x14ac:dyDescent="0.25">
      <c r="E62" s="82" t="s">
        <v>179</v>
      </c>
      <c r="F62" s="81"/>
      <c r="G62" s="81"/>
      <c r="H62" s="81"/>
      <c r="I62" s="81"/>
      <c r="J62" s="81"/>
      <c r="K62" s="81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</row>
    <row r="63" spans="1:23" x14ac:dyDescent="0.25">
      <c r="E63" s="81"/>
      <c r="F63" s="85" t="str">
        <f>F8</f>
        <v>Rental Revenue</v>
      </c>
      <c r="G63" s="20"/>
      <c r="H63" s="20"/>
      <c r="I63" s="20">
        <f>I8</f>
        <v>21850</v>
      </c>
      <c r="J63" s="20">
        <f t="shared" ref="J63:L63" si="76">J8</f>
        <v>22505.5</v>
      </c>
      <c r="K63" s="20">
        <f t="shared" si="76"/>
        <v>23180.665000000001</v>
      </c>
      <c r="L63" s="20">
        <f t="shared" si="76"/>
        <v>23876.084950000004</v>
      </c>
      <c r="M63" s="20">
        <f t="shared" ref="M63:W63" si="77">M8</f>
        <v>24592.367498500003</v>
      </c>
      <c r="N63" s="20">
        <f t="shared" si="77"/>
        <v>25330.138523455007</v>
      </c>
      <c r="O63" s="20">
        <f t="shared" si="77"/>
        <v>26090.042679158661</v>
      </c>
      <c r="P63" s="20">
        <f t="shared" si="77"/>
        <v>26872.743959533422</v>
      </c>
      <c r="Q63" s="20">
        <f t="shared" si="77"/>
        <v>27678.926278319424</v>
      </c>
      <c r="R63" s="20">
        <f t="shared" si="77"/>
        <v>28509.294066669012</v>
      </c>
      <c r="S63" s="20">
        <f t="shared" si="77"/>
        <v>29364.572888669081</v>
      </c>
      <c r="T63" s="20">
        <f t="shared" si="77"/>
        <v>30245.510075329155</v>
      </c>
      <c r="U63" s="20">
        <f t="shared" si="77"/>
        <v>31152.875377589029</v>
      </c>
      <c r="V63" s="20">
        <f t="shared" si="77"/>
        <v>32087.461638916702</v>
      </c>
      <c r="W63" s="20">
        <f t="shared" si="77"/>
        <v>33050.085488084209</v>
      </c>
    </row>
    <row r="64" spans="1:23" x14ac:dyDescent="0.25">
      <c r="E64" s="81"/>
      <c r="F64" s="85" t="str">
        <f>F9</f>
        <v>Late Fee Revenue</v>
      </c>
      <c r="G64" s="20"/>
      <c r="H64" s="20"/>
      <c r="I64" s="20">
        <f>I9</f>
        <v>456.25</v>
      </c>
      <c r="J64" s="20">
        <f t="shared" ref="J64:L64" si="78">J9</f>
        <v>456.25</v>
      </c>
      <c r="K64" s="20">
        <f t="shared" si="78"/>
        <v>456.25</v>
      </c>
      <c r="L64" s="20">
        <f t="shared" si="78"/>
        <v>456.25</v>
      </c>
      <c r="M64" s="20">
        <f t="shared" ref="M64:W64" si="79">M9</f>
        <v>456.25</v>
      </c>
      <c r="N64" s="20">
        <f t="shared" si="79"/>
        <v>456.25</v>
      </c>
      <c r="O64" s="20">
        <f t="shared" si="79"/>
        <v>456.25</v>
      </c>
      <c r="P64" s="20">
        <f t="shared" si="79"/>
        <v>456.25</v>
      </c>
      <c r="Q64" s="20">
        <f t="shared" si="79"/>
        <v>456.25</v>
      </c>
      <c r="R64" s="20">
        <f t="shared" si="79"/>
        <v>456.25</v>
      </c>
      <c r="S64" s="20">
        <f t="shared" si="79"/>
        <v>456.25</v>
      </c>
      <c r="T64" s="20">
        <f t="shared" si="79"/>
        <v>456.25</v>
      </c>
      <c r="U64" s="20">
        <f t="shared" si="79"/>
        <v>456.25</v>
      </c>
      <c r="V64" s="20">
        <f t="shared" si="79"/>
        <v>456.25</v>
      </c>
      <c r="W64" s="20">
        <f t="shared" si="79"/>
        <v>456.25</v>
      </c>
    </row>
    <row r="65" spans="5:23" x14ac:dyDescent="0.25">
      <c r="E65" s="81"/>
      <c r="F65" s="87" t="s">
        <v>180</v>
      </c>
      <c r="G65" s="20"/>
      <c r="H65" s="20"/>
      <c r="I65" s="20">
        <f>-SUM(I12:I15)</f>
        <v>-7950</v>
      </c>
      <c r="J65" s="20">
        <f>-SUM(I12:I15)</f>
        <v>-7950</v>
      </c>
      <c r="K65" s="20">
        <f>-SUM(J12:J15)</f>
        <v>-8049</v>
      </c>
      <c r="L65" s="20">
        <f>-SUM(K12:K15)</f>
        <v>-8150.97</v>
      </c>
      <c r="M65" s="20">
        <f t="shared" ref="M65:W65" si="80">-SUM(L12:L15)</f>
        <v>-8255.9991000000009</v>
      </c>
      <c r="N65" s="20">
        <f t="shared" si="80"/>
        <v>-8364.1790730000012</v>
      </c>
      <c r="O65" s="20">
        <f t="shared" si="80"/>
        <v>-8475.6044451900016</v>
      </c>
      <c r="P65" s="20">
        <f t="shared" si="80"/>
        <v>-8590.3725785457009</v>
      </c>
      <c r="Q65" s="20">
        <f t="shared" si="80"/>
        <v>-8708.5837559020729</v>
      </c>
      <c r="R65" s="20">
        <f t="shared" si="80"/>
        <v>-8830.3412685791336</v>
      </c>
      <c r="S65" s="20">
        <f t="shared" si="80"/>
        <v>-8955.7515066365086</v>
      </c>
      <c r="T65" s="20">
        <f t="shared" si="80"/>
        <v>-9084.9240518356037</v>
      </c>
      <c r="U65" s="20">
        <f t="shared" si="80"/>
        <v>-9217.9717733906728</v>
      </c>
      <c r="V65" s="20">
        <f t="shared" si="80"/>
        <v>-9355.0109265923929</v>
      </c>
      <c r="W65" s="20">
        <f t="shared" si="80"/>
        <v>-9496.1612543901647</v>
      </c>
    </row>
    <row r="66" spans="5:23" x14ac:dyDescent="0.25">
      <c r="E66" s="81"/>
      <c r="F66" s="20" t="s">
        <v>181</v>
      </c>
      <c r="G66" s="20"/>
      <c r="H66" s="88"/>
      <c r="I66" s="94">
        <f>SUM(I63:I65)</f>
        <v>14356.25</v>
      </c>
      <c r="J66" s="94">
        <f t="shared" ref="J66:L66" si="81">SUM(J63:J65)</f>
        <v>15011.75</v>
      </c>
      <c r="K66" s="94">
        <f t="shared" si="81"/>
        <v>15587.915000000001</v>
      </c>
      <c r="L66" s="94">
        <f t="shared" si="81"/>
        <v>16181.364950000003</v>
      </c>
      <c r="M66" s="94">
        <f t="shared" ref="M66:W66" si="82">SUM(M63:M65)</f>
        <v>16792.618398500003</v>
      </c>
      <c r="N66" s="94">
        <f t="shared" si="82"/>
        <v>17422.209450455004</v>
      </c>
      <c r="O66" s="94">
        <f t="shared" si="82"/>
        <v>18070.68823396866</v>
      </c>
      <c r="P66" s="94">
        <f t="shared" si="82"/>
        <v>18738.621380987723</v>
      </c>
      <c r="Q66" s="94">
        <f t="shared" si="82"/>
        <v>19426.592522417352</v>
      </c>
      <c r="R66" s="94">
        <f t="shared" si="82"/>
        <v>20135.202798089878</v>
      </c>
      <c r="S66" s="94">
        <f t="shared" si="82"/>
        <v>20865.071382032573</v>
      </c>
      <c r="T66" s="94">
        <f t="shared" si="82"/>
        <v>21616.836023493554</v>
      </c>
      <c r="U66" s="94">
        <f t="shared" si="82"/>
        <v>22391.153604198356</v>
      </c>
      <c r="V66" s="94">
        <f t="shared" si="82"/>
        <v>23188.700712324309</v>
      </c>
      <c r="W66" s="94">
        <f t="shared" si="82"/>
        <v>24010.174233694044</v>
      </c>
    </row>
    <row r="67" spans="5:23" x14ac:dyDescent="0.25">
      <c r="E67" s="81"/>
      <c r="F67" s="20"/>
      <c r="G67" s="20"/>
      <c r="H67" s="20"/>
      <c r="I67" s="20"/>
      <c r="J67" s="20"/>
      <c r="K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</row>
    <row r="68" spans="5:23" x14ac:dyDescent="0.25">
      <c r="E68" s="83" t="s">
        <v>199</v>
      </c>
      <c r="F68" s="20"/>
      <c r="G68" s="20"/>
      <c r="H68" s="20"/>
      <c r="I68" s="20">
        <f>-I17</f>
        <v>-7260</v>
      </c>
      <c r="J68" s="20">
        <f>-I17</f>
        <v>-7260</v>
      </c>
      <c r="K68" s="20">
        <f>-J17</f>
        <v>-7260</v>
      </c>
      <c r="L68" s="20">
        <f>-K17</f>
        <v>-7260</v>
      </c>
      <c r="M68" s="20">
        <f t="shared" ref="M68:W68" si="83">-L17</f>
        <v>-7260</v>
      </c>
      <c r="N68" s="20">
        <f t="shared" si="83"/>
        <v>-7260</v>
      </c>
      <c r="O68" s="20">
        <f t="shared" si="83"/>
        <v>-7260</v>
      </c>
      <c r="P68" s="20">
        <f t="shared" si="83"/>
        <v>-7260</v>
      </c>
      <c r="Q68" s="20">
        <f t="shared" si="83"/>
        <v>-7260</v>
      </c>
      <c r="R68" s="20">
        <f t="shared" si="83"/>
        <v>-7260</v>
      </c>
      <c r="S68" s="20">
        <f t="shared" si="83"/>
        <v>-7260</v>
      </c>
      <c r="T68" s="20">
        <f t="shared" si="83"/>
        <v>-7260</v>
      </c>
      <c r="U68" s="20">
        <f t="shared" si="83"/>
        <v>-7260</v>
      </c>
      <c r="V68" s="20">
        <f t="shared" si="83"/>
        <v>-7260</v>
      </c>
      <c r="W68" s="20">
        <f t="shared" si="83"/>
        <v>-7260</v>
      </c>
    </row>
    <row r="69" spans="5:23" x14ac:dyDescent="0.25">
      <c r="E69" s="83"/>
      <c r="F69" s="20"/>
      <c r="G69" s="20"/>
      <c r="H69" s="20"/>
      <c r="I69" s="20"/>
      <c r="J69" s="20"/>
      <c r="K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</row>
    <row r="70" spans="5:23" x14ac:dyDescent="0.25">
      <c r="E70" s="81" t="s">
        <v>182</v>
      </c>
      <c r="F70" s="20"/>
      <c r="G70" s="20"/>
      <c r="H70" s="20"/>
      <c r="I70" s="20">
        <f>SUM(I66:I68)</f>
        <v>7096.25</v>
      </c>
      <c r="J70" s="20">
        <f t="shared" ref="J70:K70" si="84">SUM(J66:J68)</f>
        <v>7751.75</v>
      </c>
      <c r="K70" s="20">
        <f t="shared" si="84"/>
        <v>8327.9150000000009</v>
      </c>
      <c r="L70" s="20">
        <f>SUM(L66:L68)</f>
        <v>8921.3649500000029</v>
      </c>
      <c r="M70" s="20">
        <f t="shared" ref="M70:W70" si="85">SUM(M66:M68)</f>
        <v>9532.6183985000025</v>
      </c>
      <c r="N70" s="20">
        <f t="shared" si="85"/>
        <v>10162.209450455004</v>
      </c>
      <c r="O70" s="20">
        <f t="shared" si="85"/>
        <v>10810.68823396866</v>
      </c>
      <c r="P70" s="20">
        <f t="shared" si="85"/>
        <v>11478.621380987723</v>
      </c>
      <c r="Q70" s="20">
        <f t="shared" si="85"/>
        <v>12166.592522417352</v>
      </c>
      <c r="R70" s="20">
        <f t="shared" si="85"/>
        <v>12875.202798089878</v>
      </c>
      <c r="S70" s="20">
        <f t="shared" si="85"/>
        <v>13605.071382032573</v>
      </c>
      <c r="T70" s="20">
        <f t="shared" si="85"/>
        <v>14356.836023493554</v>
      </c>
      <c r="U70" s="20">
        <f t="shared" si="85"/>
        <v>15131.153604198356</v>
      </c>
      <c r="V70" s="20">
        <f t="shared" si="85"/>
        <v>15928.700712324309</v>
      </c>
      <c r="W70" s="20">
        <f t="shared" si="85"/>
        <v>16750.174233694044</v>
      </c>
    </row>
    <row r="71" spans="5:23" x14ac:dyDescent="0.25">
      <c r="E71" s="81"/>
      <c r="F71" s="81"/>
      <c r="G71" s="81"/>
      <c r="H71" s="81"/>
      <c r="I71" s="81"/>
      <c r="J71" s="81"/>
      <c r="K71" s="81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</row>
    <row r="72" spans="5:23" x14ac:dyDescent="0.25">
      <c r="E72" s="20" t="s">
        <v>183</v>
      </c>
      <c r="F72" s="20"/>
      <c r="G72" s="32">
        <v>0.35</v>
      </c>
      <c r="H72" s="20"/>
      <c r="I72" s="20">
        <f>I70*-$G$72</f>
        <v>-2483.6875</v>
      </c>
      <c r="J72" s="20">
        <f t="shared" ref="J72:L72" si="86">J70*-$G$72</f>
        <v>-2713.1124999999997</v>
      </c>
      <c r="K72" s="20">
        <f t="shared" si="86"/>
        <v>-2914.77025</v>
      </c>
      <c r="L72" s="20">
        <f t="shared" si="86"/>
        <v>-3122.4777325000009</v>
      </c>
      <c r="M72" s="20">
        <f t="shared" ref="M72:W72" si="87">M70*-$G$72</f>
        <v>-3336.4164394750005</v>
      </c>
      <c r="N72" s="20">
        <f t="shared" si="87"/>
        <v>-3556.7733076592513</v>
      </c>
      <c r="O72" s="20">
        <f t="shared" si="87"/>
        <v>-3783.7408818890308</v>
      </c>
      <c r="P72" s="20">
        <f t="shared" si="87"/>
        <v>-4017.5174833457027</v>
      </c>
      <c r="Q72" s="20">
        <f t="shared" si="87"/>
        <v>-4258.3073828460729</v>
      </c>
      <c r="R72" s="20">
        <f t="shared" si="87"/>
        <v>-4506.3209793314572</v>
      </c>
      <c r="S72" s="20">
        <f t="shared" si="87"/>
        <v>-4761.7749837113997</v>
      </c>
      <c r="T72" s="20">
        <f t="shared" si="87"/>
        <v>-5024.8926082227435</v>
      </c>
      <c r="U72" s="20">
        <f t="shared" si="87"/>
        <v>-5295.9037614694244</v>
      </c>
      <c r="V72" s="20">
        <f t="shared" si="87"/>
        <v>-5575.0452493135081</v>
      </c>
      <c r="W72" s="20">
        <f t="shared" si="87"/>
        <v>-5862.5609817929153</v>
      </c>
    </row>
    <row r="73" spans="5:23" x14ac:dyDescent="0.25">
      <c r="E73" s="20" t="s">
        <v>184</v>
      </c>
      <c r="F73" s="20"/>
      <c r="G73" s="20"/>
      <c r="H73" s="20"/>
      <c r="I73" s="20">
        <f>-I68</f>
        <v>7260</v>
      </c>
      <c r="J73" s="20">
        <f t="shared" ref="J73:K73" si="88">-J68</f>
        <v>7260</v>
      </c>
      <c r="K73" s="20">
        <f t="shared" si="88"/>
        <v>7260</v>
      </c>
      <c r="L73" s="20">
        <f>-L68</f>
        <v>7260</v>
      </c>
      <c r="M73" s="20">
        <f t="shared" ref="M73:W73" si="89">-M68</f>
        <v>7260</v>
      </c>
      <c r="N73" s="20">
        <f t="shared" si="89"/>
        <v>7260</v>
      </c>
      <c r="O73" s="20">
        <f t="shared" si="89"/>
        <v>7260</v>
      </c>
      <c r="P73" s="20">
        <f t="shared" si="89"/>
        <v>7260</v>
      </c>
      <c r="Q73" s="20">
        <f t="shared" si="89"/>
        <v>7260</v>
      </c>
      <c r="R73" s="20">
        <f t="shared" si="89"/>
        <v>7260</v>
      </c>
      <c r="S73" s="20">
        <f t="shared" si="89"/>
        <v>7260</v>
      </c>
      <c r="T73" s="20">
        <f t="shared" si="89"/>
        <v>7260</v>
      </c>
      <c r="U73" s="20">
        <f t="shared" si="89"/>
        <v>7260</v>
      </c>
      <c r="V73" s="20">
        <f t="shared" si="89"/>
        <v>7260</v>
      </c>
      <c r="W73" s="20">
        <f t="shared" si="89"/>
        <v>7260</v>
      </c>
    </row>
    <row r="74" spans="5:23" x14ac:dyDescent="0.25">
      <c r="E74" s="20"/>
      <c r="F74" s="20"/>
      <c r="G74" s="20"/>
      <c r="H74" s="20"/>
      <c r="I74" s="20" t="s">
        <v>200</v>
      </c>
      <c r="J74" s="20"/>
      <c r="K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</row>
    <row r="75" spans="5:23" x14ac:dyDescent="0.25">
      <c r="E75" s="90" t="s">
        <v>185</v>
      </c>
      <c r="F75" s="20"/>
      <c r="G75" s="20"/>
      <c r="H75" s="20"/>
      <c r="I75" s="20">
        <f>SUM(I70:I74)</f>
        <v>11872.5625</v>
      </c>
      <c r="J75" s="20">
        <f t="shared" ref="J75:L75" si="90">SUM(J70:J74)</f>
        <v>12298.637500000001</v>
      </c>
      <c r="K75" s="20">
        <f t="shared" si="90"/>
        <v>12673.144750000001</v>
      </c>
      <c r="L75" s="20">
        <f t="shared" si="90"/>
        <v>13058.887217500001</v>
      </c>
      <c r="M75" s="20">
        <f t="shared" ref="M75:W75" si="91">SUM(M70:M74)</f>
        <v>13456.201959025002</v>
      </c>
      <c r="N75" s="20">
        <f t="shared" si="91"/>
        <v>13865.436142795752</v>
      </c>
      <c r="O75" s="20">
        <f t="shared" si="91"/>
        <v>14286.947352079629</v>
      </c>
      <c r="P75" s="20">
        <f t="shared" si="91"/>
        <v>14721.10389764202</v>
      </c>
      <c r="Q75" s="20">
        <f t="shared" si="91"/>
        <v>15168.285139571279</v>
      </c>
      <c r="R75" s="20">
        <f t="shared" si="91"/>
        <v>15628.881818758422</v>
      </c>
      <c r="S75" s="20">
        <f t="shared" si="91"/>
        <v>16103.296398321174</v>
      </c>
      <c r="T75" s="20">
        <f t="shared" si="91"/>
        <v>16591.943415270809</v>
      </c>
      <c r="U75" s="20">
        <f t="shared" si="91"/>
        <v>17095.249842728932</v>
      </c>
      <c r="V75" s="20">
        <f t="shared" si="91"/>
        <v>17613.6554630108</v>
      </c>
      <c r="W75" s="20">
        <f t="shared" si="91"/>
        <v>18147.61325190113</v>
      </c>
    </row>
    <row r="76" spans="5:23" x14ac:dyDescent="0.25">
      <c r="E76" s="20"/>
      <c r="F76" s="20"/>
      <c r="G76" s="20"/>
      <c r="H76" s="20"/>
      <c r="I76" s="20"/>
      <c r="J76" s="20"/>
      <c r="K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</row>
    <row r="77" spans="5:23" x14ac:dyDescent="0.25">
      <c r="E77" s="89" t="s">
        <v>186</v>
      </c>
      <c r="F77" s="20"/>
      <c r="G77" s="20"/>
      <c r="H77" s="20"/>
      <c r="I77" s="20"/>
      <c r="J77" s="20"/>
      <c r="K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</row>
    <row r="78" spans="5:23" x14ac:dyDescent="0.25">
      <c r="E78" s="86" t="s">
        <v>187</v>
      </c>
      <c r="F78" s="20" t="s">
        <v>190</v>
      </c>
      <c r="G78" s="20"/>
      <c r="H78" s="20"/>
      <c r="I78" s="20">
        <f>-I29</f>
        <v>-5000</v>
      </c>
      <c r="J78" s="20">
        <v>0</v>
      </c>
      <c r="K78" s="20">
        <f>J78</f>
        <v>0</v>
      </c>
      <c r="L78" s="20">
        <v>0</v>
      </c>
      <c r="M78" s="20">
        <f>L78</f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</row>
    <row r="79" spans="5:23" x14ac:dyDescent="0.25">
      <c r="E79" s="86" t="s">
        <v>187</v>
      </c>
      <c r="F79" s="20" t="s">
        <v>14</v>
      </c>
      <c r="G79" s="20"/>
      <c r="H79" s="20"/>
      <c r="I79" s="20">
        <f>H31-I31</f>
        <v>-91.041666666666671</v>
      </c>
      <c r="J79" s="20">
        <f>I31-J31</f>
        <v>-2.7312500000000028</v>
      </c>
      <c r="K79" s="20">
        <f t="shared" ref="K79:L79" si="92">J31-K31</f>
        <v>-2.8131875000000122</v>
      </c>
      <c r="L79" s="20">
        <f t="shared" si="92"/>
        <v>-2.897583124999997</v>
      </c>
      <c r="M79" s="20">
        <f t="shared" ref="M79" si="93">L31-M31</f>
        <v>-2.9845106187500079</v>
      </c>
      <c r="N79" s="20">
        <f t="shared" ref="N79" si="94">M31-N31</f>
        <v>-3.0740459373125049</v>
      </c>
      <c r="O79" s="20">
        <f t="shared" ref="O79" si="95">N31-O31</f>
        <v>-3.1662673154319094</v>
      </c>
      <c r="P79" s="20">
        <f t="shared" ref="P79" si="96">O31-P31</f>
        <v>-3.2612553348948268</v>
      </c>
      <c r="Q79" s="20">
        <f t="shared" ref="Q79" si="97">P31-Q31</f>
        <v>-3.3590929949416761</v>
      </c>
      <c r="R79" s="20">
        <f t="shared" ref="R79" si="98">Q31-R31</f>
        <v>-3.4598657847899403</v>
      </c>
      <c r="S79" s="20">
        <f t="shared" ref="S79" si="99">R31-S31</f>
        <v>-3.5636617583336232</v>
      </c>
      <c r="T79" s="20">
        <f t="shared" ref="T79" si="100">S31-T31</f>
        <v>-3.6705716110836448</v>
      </c>
      <c r="U79" s="20">
        <f t="shared" ref="U79" si="101">T31-U31</f>
        <v>-3.7806887594161509</v>
      </c>
      <c r="V79" s="20">
        <f t="shared" ref="V79" si="102">U31-V31</f>
        <v>-3.8941094221986248</v>
      </c>
      <c r="W79" s="20">
        <f t="shared" ref="W79" si="103">V31-W31</f>
        <v>-4.0109327048646151</v>
      </c>
    </row>
    <row r="80" spans="5:23" x14ac:dyDescent="0.25">
      <c r="E80" s="86" t="s">
        <v>188</v>
      </c>
      <c r="F80" s="20" t="s">
        <v>189</v>
      </c>
      <c r="G80" s="20"/>
      <c r="H80" s="20"/>
      <c r="I80" s="20">
        <f>H72-I72</f>
        <v>2483.6875</v>
      </c>
      <c r="J80" s="20">
        <f t="shared" ref="J80:L80" si="104">I72-J72</f>
        <v>229.42499999999973</v>
      </c>
      <c r="K80" s="20">
        <f t="shared" si="104"/>
        <v>201.65775000000031</v>
      </c>
      <c r="L80" s="20">
        <f t="shared" si="104"/>
        <v>207.70748250000088</v>
      </c>
      <c r="M80" s="20">
        <f t="shared" ref="M80" si="105">L72-M72</f>
        <v>213.9387069749996</v>
      </c>
      <c r="N80" s="20">
        <f t="shared" ref="N80" si="106">M72-N72</f>
        <v>220.35686818425074</v>
      </c>
      <c r="O80" s="20">
        <f t="shared" ref="O80" si="107">N72-O72</f>
        <v>226.96757422977953</v>
      </c>
      <c r="P80" s="20">
        <f t="shared" ref="P80" si="108">O72-P72</f>
        <v>233.77660145667187</v>
      </c>
      <c r="Q80" s="20">
        <f t="shared" ref="Q80" si="109">P72-Q72</f>
        <v>240.78989950037021</v>
      </c>
      <c r="R80" s="20">
        <f t="shared" ref="R80" si="110">Q72-R72</f>
        <v>248.01359648538437</v>
      </c>
      <c r="S80" s="20">
        <f t="shared" ref="S80" si="111">R72-S72</f>
        <v>255.45400437994249</v>
      </c>
      <c r="T80" s="20">
        <f t="shared" ref="T80" si="112">S72-T72</f>
        <v>263.11762451134382</v>
      </c>
      <c r="U80" s="20">
        <f t="shared" ref="U80" si="113">T72-U72</f>
        <v>271.01115324668081</v>
      </c>
      <c r="V80" s="20">
        <f t="shared" ref="V80" si="114">U72-V72</f>
        <v>279.14148784408371</v>
      </c>
      <c r="W80" s="20">
        <f t="shared" ref="W80" si="115">V72-W72</f>
        <v>287.51573247940723</v>
      </c>
    </row>
    <row r="81" spans="5:26" x14ac:dyDescent="0.25">
      <c r="E81" s="20"/>
      <c r="F81" s="20"/>
      <c r="G81" s="20"/>
      <c r="H81" s="20"/>
      <c r="I81" s="20"/>
      <c r="J81" s="20"/>
      <c r="K81" s="20"/>
    </row>
    <row r="82" spans="5:26" x14ac:dyDescent="0.25">
      <c r="E82" s="89" t="s">
        <v>191</v>
      </c>
      <c r="F82" s="20"/>
      <c r="G82" s="20"/>
      <c r="H82" s="20"/>
      <c r="I82" s="20"/>
      <c r="J82" s="20"/>
      <c r="K82" s="20"/>
      <c r="X82" s="133" t="s">
        <v>224</v>
      </c>
    </row>
    <row r="83" spans="5:26" x14ac:dyDescent="0.25">
      <c r="E83" s="86" t="s">
        <v>188</v>
      </c>
      <c r="F83" s="20" t="s">
        <v>190</v>
      </c>
      <c r="G83" s="20"/>
      <c r="H83" s="20"/>
      <c r="I83" s="20"/>
      <c r="J83" s="20"/>
      <c r="K83" s="20"/>
      <c r="W83" s="20">
        <f>-I78</f>
        <v>5000</v>
      </c>
      <c r="X83" s="131">
        <f>SUM(I78:W78)</f>
        <v>-5000</v>
      </c>
    </row>
    <row r="84" spans="5:26" x14ac:dyDescent="0.25">
      <c r="E84" s="86" t="s">
        <v>188</v>
      </c>
      <c r="F84" s="20" t="s">
        <v>14</v>
      </c>
      <c r="G84" s="20"/>
      <c r="H84" s="20"/>
      <c r="I84" s="20"/>
      <c r="J84" s="20"/>
      <c r="K84" s="20"/>
      <c r="W84" s="20">
        <f>W31</f>
        <v>137.70868953368421</v>
      </c>
      <c r="X84" s="131">
        <f>SUM(I79:W79)</f>
        <v>-137.70868953368421</v>
      </c>
    </row>
    <row r="85" spans="5:26" x14ac:dyDescent="0.25">
      <c r="E85" s="86" t="s">
        <v>187</v>
      </c>
      <c r="F85" s="20" t="s">
        <v>189</v>
      </c>
      <c r="G85" s="20"/>
      <c r="H85" s="20"/>
      <c r="I85" s="20"/>
      <c r="J85" s="20"/>
      <c r="K85" s="20"/>
      <c r="W85" s="20">
        <f>W72</f>
        <v>-5862.5609817929153</v>
      </c>
      <c r="X85" s="131">
        <f>SUM(I80:W80)</f>
        <v>5862.5609817929153</v>
      </c>
    </row>
    <row r="86" spans="5:26" x14ac:dyDescent="0.25">
      <c r="E86" s="20"/>
      <c r="F86" s="20"/>
      <c r="G86" s="20"/>
      <c r="H86" s="20"/>
      <c r="I86" s="20"/>
      <c r="J86" s="20"/>
      <c r="K86" s="20"/>
    </row>
    <row r="87" spans="5:26" x14ac:dyDescent="0.25">
      <c r="E87" s="89" t="s">
        <v>192</v>
      </c>
      <c r="F87" s="20"/>
      <c r="G87" s="20"/>
      <c r="H87" s="20"/>
      <c r="I87" s="20"/>
      <c r="J87" s="20"/>
      <c r="K87" s="20"/>
      <c r="Y87" s="2" t="s">
        <v>203</v>
      </c>
      <c r="Z87" s="19">
        <f>-H88</f>
        <v>247800</v>
      </c>
    </row>
    <row r="88" spans="5:26" x14ac:dyDescent="0.25">
      <c r="E88" s="1" t="s">
        <v>187</v>
      </c>
      <c r="F88" s="20" t="s">
        <v>43</v>
      </c>
      <c r="G88" s="20"/>
      <c r="H88" s="20">
        <f>-I32</f>
        <v>-247800</v>
      </c>
      <c r="I88" s="20"/>
      <c r="J88" s="20"/>
      <c r="K88" s="20"/>
      <c r="W88" s="81"/>
      <c r="Y88" s="2" t="s">
        <v>204</v>
      </c>
      <c r="Z88" s="20">
        <f>W33</f>
        <v>-108900</v>
      </c>
    </row>
    <row r="89" spans="5:26" x14ac:dyDescent="0.25">
      <c r="E89" s="86" t="s">
        <v>188</v>
      </c>
      <c r="F89" s="20" t="s">
        <v>193</v>
      </c>
      <c r="G89" s="20"/>
      <c r="H89" s="20"/>
      <c r="I89" s="20"/>
      <c r="J89" s="20"/>
      <c r="K89" s="20"/>
      <c r="W89" s="20">
        <f>Z91</f>
        <v>125000</v>
      </c>
      <c r="Y89" s="134" t="s">
        <v>205</v>
      </c>
      <c r="Z89" s="132">
        <f>SUM(Z87:Z88)</f>
        <v>138900</v>
      </c>
    </row>
    <row r="90" spans="5:26" x14ac:dyDescent="0.25">
      <c r="E90" s="86" t="s">
        <v>187</v>
      </c>
      <c r="F90" s="20" t="s">
        <v>194</v>
      </c>
      <c r="G90" s="20"/>
      <c r="H90" s="20"/>
      <c r="I90" s="20"/>
      <c r="J90" s="20"/>
      <c r="K90" s="20"/>
      <c r="W90" s="20">
        <f>IF(Z92&gt;=0,-Z92*G72,0)</f>
        <v>0</v>
      </c>
    </row>
    <row r="91" spans="5:26" x14ac:dyDescent="0.25">
      <c r="E91" s="91"/>
      <c r="F91" s="20"/>
      <c r="G91" s="20"/>
      <c r="H91" s="20"/>
      <c r="I91" s="20"/>
      <c r="J91" s="20"/>
      <c r="K91" s="20"/>
      <c r="P91" s="35"/>
      <c r="W91" s="20"/>
      <c r="Y91" s="2" t="s">
        <v>206</v>
      </c>
      <c r="Z91" s="19">
        <v>125000</v>
      </c>
    </row>
    <row r="92" spans="5:26" x14ac:dyDescent="0.25">
      <c r="E92" s="98" t="s">
        <v>195</v>
      </c>
      <c r="F92" s="85"/>
      <c r="G92" s="20"/>
      <c r="H92" s="20">
        <f>SUM(H75:H91)</f>
        <v>-247800</v>
      </c>
      <c r="I92" s="20">
        <f t="shared" ref="I92:K92" si="116">SUM(I75:I91)</f>
        <v>9265.2083333333321</v>
      </c>
      <c r="J92" s="20">
        <f t="shared" si="116"/>
        <v>12525.331249999999</v>
      </c>
      <c r="K92" s="20">
        <f t="shared" si="116"/>
        <v>12871.989312500002</v>
      </c>
      <c r="L92" s="20">
        <f t="shared" ref="L92:V92" si="117">SUM(L75:L91)</f>
        <v>13263.697116875002</v>
      </c>
      <c r="M92" s="20">
        <f t="shared" si="117"/>
        <v>13667.156155381252</v>
      </c>
      <c r="N92" s="20">
        <f t="shared" si="117"/>
        <v>14082.718965042692</v>
      </c>
      <c r="O92" s="20">
        <f t="shared" si="117"/>
        <v>14510.748658993976</v>
      </c>
      <c r="P92" s="20">
        <f t="shared" si="117"/>
        <v>14951.619243763796</v>
      </c>
      <c r="Q92" s="20">
        <f t="shared" si="117"/>
        <v>15405.715946076707</v>
      </c>
      <c r="R92" s="20">
        <f t="shared" si="117"/>
        <v>15873.435549459016</v>
      </c>
      <c r="S92" s="20">
        <f t="shared" si="117"/>
        <v>16355.186740942783</v>
      </c>
      <c r="T92" s="20">
        <f t="shared" si="117"/>
        <v>16851.39046817107</v>
      </c>
      <c r="U92" s="20">
        <f t="shared" si="117"/>
        <v>17362.480307216196</v>
      </c>
      <c r="V92" s="20">
        <f t="shared" si="117"/>
        <v>17888.902841432686</v>
      </c>
      <c r="W92" s="20">
        <f>SUM(W75:W91)</f>
        <v>142706.26575941645</v>
      </c>
      <c r="Y92" s="2" t="s">
        <v>225</v>
      </c>
      <c r="Z92" s="20">
        <f>Z91-Z89</f>
        <v>-13900</v>
      </c>
    </row>
    <row r="93" spans="5:26" x14ac:dyDescent="0.25">
      <c r="E93" s="99" t="s">
        <v>196</v>
      </c>
      <c r="F93" s="20"/>
      <c r="G93" s="20"/>
      <c r="H93" s="20">
        <f>PV($H$97,H96,,-H92,0)</f>
        <v>-247800</v>
      </c>
      <c r="I93" s="20">
        <f>PV($H$97,I96,,-I92,0)</f>
        <v>8439.1810091998614</v>
      </c>
      <c r="J93" s="20">
        <f>PV($H$97,J96,,-J92,0)</f>
        <v>10391.528810612359</v>
      </c>
      <c r="K93" s="20">
        <f>PV($H$97,K96,,-K92,0)</f>
        <v>9727.0468852926806</v>
      </c>
      <c r="L93" s="20">
        <f t="shared" ref="L93:W93" si="118">PV($H$97,L96,,-L92,0)</f>
        <v>9129.4591062125855</v>
      </c>
      <c r="M93" s="20">
        <f t="shared" si="118"/>
        <v>8568.4786917247129</v>
      </c>
      <c r="N93" s="20">
        <f t="shared" si="118"/>
        <v>8041.8726246916012</v>
      </c>
      <c r="O93" s="20">
        <f t="shared" si="118"/>
        <v>7547.5432454810561</v>
      </c>
      <c r="P93" s="20">
        <f t="shared" si="118"/>
        <v>7083.520124303478</v>
      </c>
      <c r="Q93" s="20">
        <f t="shared" si="118"/>
        <v>6647.9524145594532</v>
      </c>
      <c r="R93" s="20">
        <f t="shared" si="118"/>
        <v>6239.1016593752083</v>
      </c>
      <c r="S93" s="20">
        <f t="shared" si="118"/>
        <v>5855.3350250527119</v>
      </c>
      <c r="T93" s="20">
        <f t="shared" si="118"/>
        <v>5495.1189366300623</v>
      </c>
      <c r="U93" s="20">
        <f t="shared" si="118"/>
        <v>5157.0130921393302</v>
      </c>
      <c r="V93" s="20">
        <f t="shared" si="118"/>
        <v>4839.6648334676893</v>
      </c>
      <c r="W93" s="20">
        <f t="shared" si="118"/>
        <v>35165.737957550322</v>
      </c>
    </row>
    <row r="94" spans="5:26" x14ac:dyDescent="0.25">
      <c r="E94" s="91"/>
      <c r="F94" s="92" t="s">
        <v>197</v>
      </c>
      <c r="G94" s="20"/>
      <c r="H94" s="108">
        <f>SUM(H93:W93)</f>
        <v>-109471.44558370687</v>
      </c>
    </row>
    <row r="95" spans="5:26" x14ac:dyDescent="0.25">
      <c r="E95" s="91"/>
      <c r="F95" s="92" t="s">
        <v>198</v>
      </c>
      <c r="G95" s="20"/>
      <c r="H95" s="107">
        <f>IRR(H92:W92)</f>
        <v>3.2506504176122997E-2</v>
      </c>
      <c r="I95" s="96"/>
      <c r="J95" s="96"/>
      <c r="K95" s="96"/>
      <c r="L95" s="106"/>
    </row>
    <row r="96" spans="5:26" x14ac:dyDescent="0.25">
      <c r="E96" s="93"/>
      <c r="F96" s="97" t="s">
        <v>207</v>
      </c>
      <c r="G96" s="20"/>
      <c r="H96" s="96">
        <v>0</v>
      </c>
      <c r="I96" s="96">
        <v>1</v>
      </c>
      <c r="J96" s="96">
        <v>2</v>
      </c>
      <c r="K96" s="96">
        <v>3</v>
      </c>
      <c r="L96" s="96">
        <v>4</v>
      </c>
      <c r="M96" s="96">
        <v>5</v>
      </c>
      <c r="N96" s="96">
        <v>6</v>
      </c>
      <c r="O96" s="96">
        <v>7</v>
      </c>
      <c r="P96" s="96">
        <v>8</v>
      </c>
      <c r="Q96" s="96">
        <v>9</v>
      </c>
      <c r="R96" s="96">
        <v>10</v>
      </c>
      <c r="S96" s="96">
        <v>11</v>
      </c>
      <c r="T96" s="96">
        <v>12</v>
      </c>
      <c r="U96" s="96">
        <v>13</v>
      </c>
      <c r="V96" s="96">
        <v>14</v>
      </c>
      <c r="W96" s="96">
        <v>15</v>
      </c>
    </row>
    <row r="97" spans="5:11" x14ac:dyDescent="0.25">
      <c r="E97" s="91"/>
      <c r="F97" s="92" t="s">
        <v>208</v>
      </c>
      <c r="G97" s="20"/>
      <c r="H97" s="76">
        <f>'Wacc-ReleverBetaCalc'!J61</f>
        <v>9.788003400246878E-2</v>
      </c>
      <c r="I97" s="20"/>
      <c r="J97" s="20"/>
      <c r="K97" s="20"/>
    </row>
    <row r="99" spans="5:11" x14ac:dyDescent="0.25">
      <c r="H99" s="2"/>
    </row>
    <row r="100" spans="5:11" x14ac:dyDescent="0.25">
      <c r="H100" s="7"/>
    </row>
    <row r="101" spans="5:11" x14ac:dyDescent="0.25">
      <c r="H101" s="7"/>
    </row>
    <row r="102" spans="5:11" x14ac:dyDescent="0.25">
      <c r="H102" s="7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62"/>
  <sheetViews>
    <sheetView topLeftCell="A16" workbookViewId="0">
      <selection activeCell="M25" sqref="M25"/>
    </sheetView>
  </sheetViews>
  <sheetFormatPr defaultColWidth="8.85546875" defaultRowHeight="15" x14ac:dyDescent="0.25"/>
  <cols>
    <col min="2" max="2" width="1.42578125" customWidth="1"/>
    <col min="3" max="3" width="16.7109375" customWidth="1"/>
    <col min="6" max="6" width="12" bestFit="1" customWidth="1"/>
    <col min="7" max="7" width="2.140625" customWidth="1"/>
    <col min="8" max="8" width="32.140625" customWidth="1"/>
    <col min="9" max="9" width="1.28515625" customWidth="1"/>
    <col min="10" max="10" width="10" bestFit="1" customWidth="1"/>
  </cols>
  <sheetData>
    <row r="1" spans="3:14" ht="7.5" customHeight="1" x14ac:dyDescent="0.25"/>
    <row r="2" spans="3:14" x14ac:dyDescent="0.25">
      <c r="H2" s="54" t="s">
        <v>137</v>
      </c>
      <c r="I2" s="53"/>
      <c r="J2" s="53"/>
      <c r="K2" s="53"/>
      <c r="L2" s="53"/>
      <c r="M2" s="53"/>
      <c r="N2" s="20"/>
    </row>
    <row r="3" spans="3:14" x14ac:dyDescent="0.25">
      <c r="C3" s="2" t="s">
        <v>95</v>
      </c>
      <c r="D3" s="38">
        <v>0.04</v>
      </c>
      <c r="E3" s="1"/>
      <c r="F3" s="1"/>
      <c r="H3" s="53"/>
      <c r="I3" s="53"/>
      <c r="J3" s="53"/>
      <c r="K3" s="53"/>
      <c r="L3" s="53"/>
      <c r="M3" s="53"/>
      <c r="N3" s="20"/>
    </row>
    <row r="4" spans="3:14" x14ac:dyDescent="0.25">
      <c r="C4" s="1"/>
      <c r="D4" s="1"/>
      <c r="E4" s="1"/>
      <c r="F4" s="1"/>
      <c r="H4" s="53" t="s">
        <v>138</v>
      </c>
      <c r="I4" s="16"/>
      <c r="J4" s="16">
        <f>D5</f>
        <v>1.66E-2</v>
      </c>
      <c r="K4" s="53"/>
      <c r="L4" s="53"/>
      <c r="M4" s="53"/>
      <c r="N4" s="85"/>
    </row>
    <row r="5" spans="3:14" x14ac:dyDescent="0.25">
      <c r="C5" s="2" t="s">
        <v>135</v>
      </c>
      <c r="D5" s="76">
        <v>1.66E-2</v>
      </c>
      <c r="E5" s="1"/>
      <c r="F5" s="1"/>
      <c r="H5" s="53" t="s">
        <v>139</v>
      </c>
      <c r="I5" s="16"/>
      <c r="J5" s="16">
        <f>D8</f>
        <v>4.19E-2</v>
      </c>
      <c r="K5" s="53"/>
      <c r="L5" s="53"/>
      <c r="M5" s="53"/>
      <c r="N5" s="85"/>
    </row>
    <row r="6" spans="3:14" x14ac:dyDescent="0.25">
      <c r="C6" s="1" t="s">
        <v>168</v>
      </c>
      <c r="D6" s="1"/>
      <c r="E6" s="1"/>
      <c r="F6" s="1"/>
      <c r="H6" s="53" t="s">
        <v>140</v>
      </c>
      <c r="I6" s="16"/>
      <c r="J6" s="55">
        <f>J5-J4</f>
        <v>2.53E-2</v>
      </c>
      <c r="K6" s="53"/>
      <c r="L6" s="53"/>
      <c r="M6" s="53"/>
      <c r="N6" s="85"/>
    </row>
    <row r="7" spans="3:14" x14ac:dyDescent="0.25">
      <c r="C7" s="2"/>
      <c r="D7" s="1"/>
      <c r="E7" s="1"/>
      <c r="F7" s="1"/>
      <c r="H7" s="53" t="s">
        <v>141</v>
      </c>
      <c r="I7" s="16"/>
      <c r="J7" s="56">
        <f>J4+J24*J6</f>
        <v>4.0635000000000004E-2</v>
      </c>
      <c r="K7" s="53"/>
      <c r="L7" s="53"/>
      <c r="M7" s="53"/>
      <c r="N7" s="85"/>
    </row>
    <row r="8" spans="3:14" x14ac:dyDescent="0.25">
      <c r="C8" s="2" t="s">
        <v>167</v>
      </c>
      <c r="D8" s="76">
        <v>4.19E-2</v>
      </c>
      <c r="E8" s="1"/>
      <c r="F8" s="1"/>
      <c r="H8" s="53"/>
      <c r="I8" s="16"/>
      <c r="J8" s="53"/>
      <c r="K8" s="16"/>
      <c r="L8" s="53"/>
      <c r="M8" s="53"/>
      <c r="N8" s="85"/>
    </row>
    <row r="9" spans="3:14" x14ac:dyDescent="0.25">
      <c r="C9" s="77" t="s">
        <v>175</v>
      </c>
      <c r="D9" s="1"/>
      <c r="E9" s="1"/>
      <c r="F9" s="1"/>
      <c r="H9" s="54" t="s">
        <v>142</v>
      </c>
      <c r="I9" s="16"/>
      <c r="J9" s="53"/>
      <c r="K9" s="16"/>
      <c r="L9" s="53"/>
      <c r="M9" s="53"/>
      <c r="N9" s="85"/>
    </row>
    <row r="10" spans="3:14" x14ac:dyDescent="0.25">
      <c r="C10" s="1"/>
      <c r="D10" s="1"/>
      <c r="E10" s="1"/>
      <c r="F10" s="1"/>
      <c r="H10" s="53"/>
      <c r="I10" s="16"/>
      <c r="J10" s="16"/>
      <c r="K10" s="53"/>
      <c r="L10" s="118" t="s">
        <v>143</v>
      </c>
      <c r="M10" s="53"/>
      <c r="N10" s="119" t="s">
        <v>144</v>
      </c>
    </row>
    <row r="11" spans="3:14" x14ac:dyDescent="0.25">
      <c r="E11" s="1"/>
      <c r="F11" s="1"/>
      <c r="H11" s="53" t="s">
        <v>145</v>
      </c>
      <c r="I11" s="16"/>
      <c r="J11" s="57">
        <f>'ForecastWithIRR&amp;NPV'!W39</f>
        <v>150494.78569159511</v>
      </c>
      <c r="K11" s="53"/>
      <c r="L11" s="58">
        <f>J11/$J$13</f>
        <v>1</v>
      </c>
      <c r="M11" s="53"/>
      <c r="N11" s="117">
        <v>4.8599999999999997E-2</v>
      </c>
    </row>
    <row r="12" spans="3:14" x14ac:dyDescent="0.25">
      <c r="C12" s="138" t="s">
        <v>214</v>
      </c>
      <c r="D12" s="138"/>
      <c r="E12" s="138"/>
      <c r="F12" s="120" t="s">
        <v>215</v>
      </c>
      <c r="H12" s="53" t="s">
        <v>146</v>
      </c>
      <c r="I12" s="16"/>
      <c r="J12" s="59">
        <f>'ForecastWithIRR&amp;NPV'!W40</f>
        <v>0</v>
      </c>
      <c r="K12" s="53"/>
      <c r="L12" s="58">
        <f>J12/$J$13</f>
        <v>0</v>
      </c>
      <c r="M12" s="53"/>
      <c r="N12" s="117">
        <v>0.1</v>
      </c>
    </row>
    <row r="13" spans="3:14" x14ac:dyDescent="0.25">
      <c r="C13" s="1" t="s">
        <v>169</v>
      </c>
      <c r="D13" s="1">
        <v>0.77</v>
      </c>
      <c r="E13" s="78"/>
      <c r="F13" s="1">
        <v>0.93169999999999997</v>
      </c>
      <c r="H13" s="53"/>
      <c r="I13" s="16"/>
      <c r="J13" s="57">
        <f>+SUM(J11:J12)</f>
        <v>150494.78569159511</v>
      </c>
      <c r="K13" s="53"/>
      <c r="L13" s="53"/>
      <c r="M13" s="53"/>
      <c r="N13" s="85"/>
    </row>
    <row r="14" spans="3:14" x14ac:dyDescent="0.25">
      <c r="C14" s="1" t="s">
        <v>170</v>
      </c>
      <c r="D14" s="1">
        <v>1.05</v>
      </c>
      <c r="E14" s="1"/>
      <c r="F14" s="1">
        <v>1.4890000000000001</v>
      </c>
      <c r="H14" s="53"/>
      <c r="I14" s="16"/>
      <c r="J14" s="57"/>
      <c r="K14" s="53"/>
      <c r="L14" s="53"/>
      <c r="M14" s="53"/>
      <c r="N14" s="85"/>
    </row>
    <row r="15" spans="3:14" x14ac:dyDescent="0.25">
      <c r="C15" s="1" t="s">
        <v>171</v>
      </c>
      <c r="D15" s="1">
        <v>1.07</v>
      </c>
      <c r="E15" s="1"/>
      <c r="F15" s="1">
        <v>1.9119999999999999</v>
      </c>
      <c r="H15" s="53" t="s">
        <v>147</v>
      </c>
      <c r="I15" s="16"/>
      <c r="J15" s="16">
        <f>L11*N11+L12*N12</f>
        <v>4.8599999999999997E-2</v>
      </c>
      <c r="K15" s="53"/>
      <c r="L15" s="53"/>
      <c r="M15" s="53"/>
      <c r="N15" s="85"/>
    </row>
    <row r="16" spans="3:14" x14ac:dyDescent="0.25">
      <c r="C16" s="1" t="s">
        <v>172</v>
      </c>
      <c r="D16" s="1">
        <v>0.98</v>
      </c>
      <c r="E16" s="1"/>
      <c r="F16" s="1">
        <v>1.7789999999999999</v>
      </c>
      <c r="H16" s="53"/>
      <c r="I16" s="16"/>
      <c r="J16" s="53"/>
      <c r="K16" s="53"/>
      <c r="L16" s="53"/>
      <c r="M16" s="53"/>
      <c r="N16" s="85"/>
    </row>
    <row r="17" spans="3:14" x14ac:dyDescent="0.25">
      <c r="C17" s="1" t="s">
        <v>173</v>
      </c>
      <c r="D17" s="1">
        <v>0.97</v>
      </c>
      <c r="E17" s="1"/>
      <c r="F17" s="1">
        <v>1.0029999999999999</v>
      </c>
      <c r="H17" s="54" t="s">
        <v>148</v>
      </c>
      <c r="I17" s="16"/>
      <c r="J17" s="58">
        <v>0.35</v>
      </c>
      <c r="K17" s="53"/>
      <c r="L17" s="53"/>
      <c r="M17" s="53"/>
      <c r="N17" s="85"/>
    </row>
    <row r="18" spans="3:14" x14ac:dyDescent="0.25">
      <c r="C18" s="1" t="s">
        <v>174</v>
      </c>
      <c r="D18" s="1">
        <v>0.86</v>
      </c>
      <c r="E18" s="1"/>
      <c r="F18" s="1">
        <v>2.8639999999999999</v>
      </c>
      <c r="H18" s="53"/>
      <c r="I18" s="16"/>
      <c r="J18" s="53"/>
      <c r="K18" s="53"/>
      <c r="L18" s="53"/>
      <c r="M18" s="53"/>
      <c r="N18" s="85"/>
    </row>
    <row r="19" spans="3:14" x14ac:dyDescent="0.25">
      <c r="C19" s="2" t="s">
        <v>178</v>
      </c>
      <c r="D19" s="1">
        <f>AVERAGE(D13:D18)</f>
        <v>0.95000000000000007</v>
      </c>
      <c r="E19" s="1" t="s">
        <v>176</v>
      </c>
      <c r="F19" s="1">
        <f>AVERAGE(F13:F18)</f>
        <v>1.6631166666666666</v>
      </c>
      <c r="H19" s="54" t="s">
        <v>149</v>
      </c>
      <c r="I19" s="16"/>
      <c r="J19" s="53"/>
      <c r="K19" s="53"/>
      <c r="L19" s="118" t="s">
        <v>143</v>
      </c>
      <c r="M19" s="53"/>
      <c r="N19" s="119" t="s">
        <v>144</v>
      </c>
    </row>
    <row r="20" spans="3:14" x14ac:dyDescent="0.25">
      <c r="H20" s="53" t="s">
        <v>150</v>
      </c>
      <c r="I20" s="16"/>
      <c r="J20" s="60">
        <f>J13</f>
        <v>150494.78569159511</v>
      </c>
      <c r="K20" s="53"/>
      <c r="L20" s="58">
        <f>J20/J22</f>
        <v>0.35353329869315514</v>
      </c>
      <c r="M20" s="53"/>
      <c r="N20" s="117">
        <f>J15</f>
        <v>4.8599999999999997E-2</v>
      </c>
    </row>
    <row r="21" spans="3:14" x14ac:dyDescent="0.25">
      <c r="H21" s="53" t="s">
        <v>91</v>
      </c>
      <c r="I21" s="16"/>
      <c r="J21" s="61">
        <f>'ForecastWithIRR&amp;NPV'!W45</f>
        <v>275192.93947574537</v>
      </c>
      <c r="K21" s="53"/>
      <c r="L21" s="58">
        <f>J21/J22</f>
        <v>0.64646670130684492</v>
      </c>
      <c r="M21" s="53"/>
      <c r="N21" s="117">
        <f>J7</f>
        <v>4.0635000000000004E-2</v>
      </c>
    </row>
    <row r="22" spans="3:14" x14ac:dyDescent="0.25">
      <c r="H22" s="53"/>
      <c r="I22" s="16"/>
      <c r="J22" s="60">
        <f>SUM(J20:J21)</f>
        <v>425687.72516734048</v>
      </c>
      <c r="K22" s="53"/>
      <c r="L22" s="53"/>
      <c r="M22" s="53"/>
      <c r="N22" s="85"/>
    </row>
    <row r="23" spans="3:14" x14ac:dyDescent="0.25">
      <c r="H23" s="53"/>
      <c r="I23" s="16"/>
      <c r="J23" s="53"/>
      <c r="K23" s="53"/>
      <c r="L23" s="53"/>
      <c r="M23" s="53"/>
      <c r="N23" s="85"/>
    </row>
    <row r="24" spans="3:14" x14ac:dyDescent="0.25">
      <c r="H24" s="62" t="s">
        <v>151</v>
      </c>
      <c r="I24" s="16"/>
      <c r="J24" s="62">
        <f>'Wacc-ReleverBetaCalc'!D19</f>
        <v>0.95000000000000007</v>
      </c>
      <c r="K24" s="53"/>
      <c r="L24" s="53"/>
      <c r="M24" s="53"/>
      <c r="N24" s="85"/>
    </row>
    <row r="25" spans="3:14" x14ac:dyDescent="0.25">
      <c r="H25" s="62" t="s">
        <v>152</v>
      </c>
      <c r="I25" s="16"/>
      <c r="J25" s="63">
        <f>L20</f>
        <v>0.35353329869315514</v>
      </c>
      <c r="K25" s="53"/>
      <c r="L25" s="53"/>
      <c r="M25" s="53"/>
      <c r="N25" s="85"/>
    </row>
    <row r="26" spans="3:14" x14ac:dyDescent="0.25">
      <c r="H26" s="62" t="s">
        <v>153</v>
      </c>
      <c r="I26" s="63"/>
      <c r="J26" s="63">
        <f>L21</f>
        <v>0.64646670130684492</v>
      </c>
      <c r="K26" s="53"/>
      <c r="L26" s="53"/>
      <c r="M26" s="53"/>
      <c r="N26" s="85"/>
    </row>
    <row r="27" spans="3:14" x14ac:dyDescent="0.25">
      <c r="H27" s="62"/>
      <c r="I27" s="62"/>
      <c r="J27" s="62"/>
      <c r="K27" s="53"/>
      <c r="L27" s="53"/>
      <c r="M27" s="53"/>
      <c r="N27" s="85"/>
    </row>
    <row r="28" spans="3:14" x14ac:dyDescent="0.25">
      <c r="H28" s="64" t="s">
        <v>136</v>
      </c>
      <c r="I28" s="62"/>
      <c r="J28" s="65">
        <f>J25*N20*(1-J17)+J26*N21</f>
        <v>3.7437291313320416E-2</v>
      </c>
      <c r="K28" s="53"/>
      <c r="L28" s="53"/>
      <c r="M28" s="53"/>
      <c r="N28" s="85"/>
    </row>
    <row r="29" spans="3:14" x14ac:dyDescent="0.25">
      <c r="H29" s="66"/>
      <c r="I29" s="66"/>
      <c r="J29" s="66"/>
      <c r="K29" s="66"/>
      <c r="L29" s="66"/>
      <c r="M29" s="66"/>
      <c r="N29" s="102"/>
    </row>
    <row r="30" spans="3:14" x14ac:dyDescent="0.25">
      <c r="H30" s="67" t="s">
        <v>154</v>
      </c>
      <c r="I30" s="53"/>
      <c r="J30" s="53"/>
      <c r="K30" s="53"/>
      <c r="L30" s="53"/>
      <c r="M30" s="53"/>
      <c r="N30" s="85"/>
    </row>
    <row r="31" spans="3:14" x14ac:dyDescent="0.25">
      <c r="H31" s="53"/>
      <c r="I31" s="53"/>
      <c r="J31" s="53"/>
      <c r="K31" s="53"/>
      <c r="L31" s="53"/>
      <c r="M31" s="53"/>
      <c r="N31" s="85"/>
    </row>
    <row r="32" spans="3:14" x14ac:dyDescent="0.25">
      <c r="H32" t="s">
        <v>155</v>
      </c>
      <c r="J32">
        <f>'Wacc-ReleverBetaCalc'!D19</f>
        <v>0.95000000000000007</v>
      </c>
      <c r="N32" s="85"/>
    </row>
    <row r="33" spans="8:14" x14ac:dyDescent="0.25">
      <c r="H33" t="s">
        <v>148</v>
      </c>
      <c r="I33" s="68"/>
      <c r="J33" s="68">
        <f>J17</f>
        <v>0.35</v>
      </c>
      <c r="N33" s="85"/>
    </row>
    <row r="34" spans="8:14" x14ac:dyDescent="0.25">
      <c r="H34" t="s">
        <v>24</v>
      </c>
      <c r="I34" s="68"/>
      <c r="J34" s="79">
        <f>L20/L21</f>
        <v>0.54687008314346397</v>
      </c>
      <c r="N34" s="85"/>
    </row>
    <row r="35" spans="8:14" x14ac:dyDescent="0.25">
      <c r="H35" t="s">
        <v>156</v>
      </c>
      <c r="I35" s="69"/>
      <c r="J35" s="79">
        <f>'Wacc-ReleverBetaCalc'!F19</f>
        <v>1.6631166666666666</v>
      </c>
      <c r="K35">
        <f>62/38</f>
        <v>1.631578947368421</v>
      </c>
      <c r="N35" s="85"/>
    </row>
    <row r="36" spans="8:14" x14ac:dyDescent="0.25">
      <c r="I36" s="69"/>
      <c r="J36" s="69"/>
      <c r="N36" s="85"/>
    </row>
    <row r="37" spans="8:14" x14ac:dyDescent="0.25">
      <c r="H37" t="s">
        <v>157</v>
      </c>
      <c r="N37" s="85"/>
    </row>
    <row r="38" spans="8:14" x14ac:dyDescent="0.25">
      <c r="N38" s="85"/>
    </row>
    <row r="39" spans="8:14" x14ac:dyDescent="0.25">
      <c r="H39" s="70" t="s">
        <v>158</v>
      </c>
      <c r="I39" s="71"/>
      <c r="J39" s="71">
        <f>J32/(1+(1-J33)*J34)</f>
        <v>0.70086620583328119</v>
      </c>
      <c r="N39" s="85"/>
    </row>
    <row r="40" spans="8:14" x14ac:dyDescent="0.25">
      <c r="I40" s="71"/>
      <c r="J40" s="71"/>
      <c r="N40" s="85"/>
    </row>
    <row r="41" spans="8:14" x14ac:dyDescent="0.25">
      <c r="H41" t="s">
        <v>159</v>
      </c>
      <c r="I41" s="72"/>
      <c r="J41" s="72"/>
      <c r="N41" s="85"/>
    </row>
    <row r="42" spans="8:14" x14ac:dyDescent="0.25">
      <c r="N42" s="85"/>
    </row>
    <row r="43" spans="8:14" x14ac:dyDescent="0.25">
      <c r="H43" s="70" t="s">
        <v>160</v>
      </c>
      <c r="I43" s="71"/>
      <c r="J43" s="71">
        <f>(1+(1-J33)*J35)*J39</f>
        <v>1.4585206800493755</v>
      </c>
      <c r="N43" s="85"/>
    </row>
    <row r="44" spans="8:14" x14ac:dyDescent="0.25">
      <c r="H44" s="66"/>
      <c r="I44" s="66"/>
      <c r="J44" s="66"/>
      <c r="K44" s="66"/>
      <c r="L44" s="66"/>
      <c r="M44" s="66"/>
      <c r="N44" s="102"/>
    </row>
    <row r="45" spans="8:14" x14ac:dyDescent="0.25">
      <c r="H45" s="67" t="s">
        <v>161</v>
      </c>
      <c r="I45" s="53"/>
      <c r="J45" s="53"/>
      <c r="K45" s="53"/>
      <c r="L45" s="53"/>
      <c r="M45" s="53"/>
      <c r="N45" s="85"/>
    </row>
    <row r="46" spans="8:14" x14ac:dyDescent="0.25">
      <c r="H46" s="53"/>
      <c r="I46" s="53"/>
      <c r="J46" s="53"/>
      <c r="K46" s="53"/>
      <c r="L46" s="53"/>
      <c r="M46" s="53"/>
      <c r="N46" s="85"/>
    </row>
    <row r="47" spans="8:14" x14ac:dyDescent="0.25">
      <c r="H47" s="54" t="s">
        <v>160</v>
      </c>
      <c r="I47" s="73"/>
      <c r="J47" s="73">
        <f>J43</f>
        <v>1.4585206800493755</v>
      </c>
      <c r="K47" s="53"/>
      <c r="L47" s="58"/>
      <c r="M47" s="53"/>
      <c r="N47" s="85"/>
    </row>
    <row r="48" spans="8:14" x14ac:dyDescent="0.25">
      <c r="H48" s="53"/>
      <c r="I48" s="53"/>
      <c r="J48" s="53"/>
      <c r="K48" s="53"/>
      <c r="L48" s="53"/>
      <c r="M48" s="53"/>
      <c r="N48" s="85"/>
    </row>
    <row r="49" spans="8:14" x14ac:dyDescent="0.25">
      <c r="H49" s="54" t="s">
        <v>162</v>
      </c>
      <c r="I49" s="53"/>
      <c r="J49" s="53"/>
      <c r="K49" s="53"/>
      <c r="L49" s="53"/>
      <c r="M49" s="53"/>
      <c r="N49" s="85"/>
    </row>
    <row r="50" spans="8:14" x14ac:dyDescent="0.25">
      <c r="H50" s="53"/>
      <c r="I50" s="53"/>
      <c r="J50" s="53"/>
      <c r="K50" s="53"/>
      <c r="L50" s="53"/>
      <c r="M50" s="53"/>
      <c r="N50" s="85"/>
    </row>
    <row r="51" spans="8:14" x14ac:dyDescent="0.25">
      <c r="H51" s="53" t="s">
        <v>163</v>
      </c>
      <c r="I51" s="16"/>
      <c r="J51" s="16">
        <v>1.4999999999999999E-2</v>
      </c>
      <c r="K51" s="53"/>
      <c r="L51" s="53"/>
      <c r="M51" s="53"/>
      <c r="N51" s="85"/>
    </row>
    <row r="52" spans="8:14" x14ac:dyDescent="0.25">
      <c r="H52" s="53" t="s">
        <v>164</v>
      </c>
      <c r="I52" s="16"/>
      <c r="J52" s="16">
        <v>0.14000000000000001</v>
      </c>
      <c r="K52" s="53"/>
      <c r="L52" s="53"/>
      <c r="M52" s="53"/>
      <c r="N52" s="85"/>
    </row>
    <row r="53" spans="8:14" x14ac:dyDescent="0.25">
      <c r="H53" s="53" t="s">
        <v>165</v>
      </c>
      <c r="I53" s="16"/>
      <c r="J53" s="16">
        <f>J52-J51</f>
        <v>0.125</v>
      </c>
      <c r="K53" s="53"/>
      <c r="L53" s="53"/>
      <c r="M53" s="53"/>
      <c r="N53" s="85"/>
    </row>
    <row r="54" spans="8:14" x14ac:dyDescent="0.25">
      <c r="H54" s="53"/>
      <c r="I54" s="16"/>
      <c r="J54" s="16"/>
      <c r="K54" s="53"/>
      <c r="L54" s="53"/>
      <c r="M54" s="53"/>
      <c r="N54" s="85"/>
    </row>
    <row r="55" spans="8:14" x14ac:dyDescent="0.25">
      <c r="H55" s="53" t="s">
        <v>166</v>
      </c>
      <c r="I55" s="16"/>
      <c r="J55" s="16">
        <f>J51+J47*J53</f>
        <v>0.19731508500617195</v>
      </c>
      <c r="K55" s="53"/>
      <c r="L55" s="58"/>
      <c r="M55" s="53"/>
      <c r="N55" s="85"/>
    </row>
    <row r="56" spans="8:14" x14ac:dyDescent="0.25">
      <c r="H56" s="53"/>
      <c r="I56" s="16"/>
      <c r="J56" s="16"/>
      <c r="K56" s="53"/>
      <c r="L56" s="58"/>
      <c r="M56" s="53"/>
      <c r="N56" s="85"/>
    </row>
    <row r="57" spans="8:14" x14ac:dyDescent="0.25">
      <c r="H57" s="62" t="s">
        <v>177</v>
      </c>
      <c r="I57" s="74"/>
      <c r="J57" s="74">
        <f>J47</f>
        <v>1.4585206800493755</v>
      </c>
      <c r="K57" s="53"/>
      <c r="L57" s="53"/>
      <c r="M57" s="53"/>
      <c r="N57" s="85"/>
    </row>
    <row r="58" spans="8:14" x14ac:dyDescent="0.25">
      <c r="H58" s="62" t="s">
        <v>152</v>
      </c>
      <c r="I58" s="75"/>
      <c r="J58" s="75">
        <v>0.6</v>
      </c>
      <c r="K58" s="53"/>
      <c r="L58" s="53"/>
      <c r="M58" s="53"/>
      <c r="N58" s="85"/>
    </row>
    <row r="59" spans="8:14" x14ac:dyDescent="0.25">
      <c r="H59" s="62" t="s">
        <v>153</v>
      </c>
      <c r="I59" s="75"/>
      <c r="J59" s="75">
        <v>0.4</v>
      </c>
      <c r="K59" s="53"/>
      <c r="L59" s="53"/>
      <c r="M59" s="53"/>
      <c r="N59" s="85"/>
    </row>
    <row r="60" spans="8:14" x14ac:dyDescent="0.25">
      <c r="H60" s="62"/>
      <c r="I60" s="62"/>
      <c r="J60" s="62"/>
      <c r="K60" s="53"/>
      <c r="L60" s="53"/>
      <c r="M60" s="53"/>
      <c r="N60" s="85"/>
    </row>
    <row r="61" spans="8:14" x14ac:dyDescent="0.25">
      <c r="H61" s="64" t="s">
        <v>161</v>
      </c>
      <c r="I61" s="62"/>
      <c r="J61" s="65">
        <f>J58*N20*(1-J17)+J59*J55</f>
        <v>9.788003400246878E-2</v>
      </c>
      <c r="K61" s="53"/>
      <c r="L61" s="53"/>
      <c r="M61" s="53"/>
      <c r="N61" s="85"/>
    </row>
    <row r="62" spans="8:14" x14ac:dyDescent="0.25">
      <c r="H62" s="80"/>
      <c r="I62" s="80"/>
      <c r="J62" s="80"/>
      <c r="K62" s="80"/>
      <c r="L62" s="80"/>
      <c r="M62" s="80"/>
      <c r="N62" s="105"/>
    </row>
  </sheetData>
  <mergeCells count="1">
    <mergeCell ref="C12:E12"/>
  </mergeCells>
  <hyperlinks>
    <hyperlink ref="C9" r:id="rId1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Q74"/>
  <sheetViews>
    <sheetView workbookViewId="0">
      <selection activeCell="F16" sqref="F16"/>
    </sheetView>
  </sheetViews>
  <sheetFormatPr defaultColWidth="8.85546875" defaultRowHeight="15" x14ac:dyDescent="0.25"/>
  <cols>
    <col min="3" max="3" width="9.85546875" bestFit="1" customWidth="1"/>
    <col min="4" max="4" width="12.85546875" bestFit="1" customWidth="1"/>
    <col min="5" max="5" width="9.42578125" bestFit="1" customWidth="1"/>
    <col min="6" max="6" width="12" bestFit="1" customWidth="1"/>
    <col min="7" max="7" width="10.140625" bestFit="1" customWidth="1"/>
    <col min="9" max="9" width="13.42578125" customWidth="1"/>
    <col min="10" max="10" width="24.28515625" customWidth="1"/>
    <col min="11" max="11" width="11.85546875" bestFit="1" customWidth="1"/>
    <col min="12" max="12" width="13.42578125" customWidth="1"/>
    <col min="13" max="13" width="10.42578125" bestFit="1" customWidth="1"/>
    <col min="14" max="14" width="14.85546875" customWidth="1"/>
    <col min="15" max="15" width="11.42578125" customWidth="1"/>
  </cols>
  <sheetData>
    <row r="1" spans="2:15" ht="18" x14ac:dyDescent="0.3">
      <c r="B1" s="139" t="s">
        <v>216</v>
      </c>
      <c r="C1" s="139"/>
      <c r="D1" s="139"/>
      <c r="E1" s="139"/>
      <c r="F1" s="139"/>
      <c r="G1" s="139"/>
      <c r="H1" s="139"/>
      <c r="I1" s="139"/>
      <c r="J1" s="25" t="s">
        <v>60</v>
      </c>
      <c r="N1" s="2" t="s">
        <v>45</v>
      </c>
      <c r="O1" s="7"/>
    </row>
    <row r="2" spans="2:15" x14ac:dyDescent="0.25">
      <c r="B2" s="139"/>
      <c r="C2" s="139"/>
      <c r="D2" s="139"/>
      <c r="E2" s="139"/>
      <c r="F2" s="139"/>
      <c r="G2" s="139"/>
      <c r="H2" s="139"/>
      <c r="I2" s="139"/>
      <c r="J2" t="s">
        <v>62</v>
      </c>
      <c r="K2" s="27">
        <v>220000</v>
      </c>
      <c r="N2" s="33">
        <f>'ForecastWithIRR&amp;NPV'!A53</f>
        <v>247800</v>
      </c>
      <c r="O2" s="7"/>
    </row>
    <row r="3" spans="2:15" x14ac:dyDescent="0.25">
      <c r="C3" s="113" t="s">
        <v>212</v>
      </c>
      <c r="D3" s="113" t="s">
        <v>210</v>
      </c>
      <c r="E3" s="113" t="s">
        <v>211</v>
      </c>
      <c r="F3" s="113" t="s">
        <v>217</v>
      </c>
      <c r="J3" s="26" t="s">
        <v>63</v>
      </c>
      <c r="K3" s="28">
        <v>1162.26</v>
      </c>
      <c r="N3" s="34">
        <v>25000</v>
      </c>
      <c r="O3" s="1" t="s">
        <v>45</v>
      </c>
    </row>
    <row r="4" spans="2:15" x14ac:dyDescent="0.25">
      <c r="C4" s="122"/>
      <c r="D4" s="122"/>
      <c r="E4" s="122"/>
      <c r="F4" s="123">
        <f>K2</f>
        <v>220000</v>
      </c>
      <c r="J4" s="26" t="s">
        <v>64</v>
      </c>
      <c r="K4" s="28">
        <v>-3.34</v>
      </c>
      <c r="N4" s="33">
        <f>N2-N3</f>
        <v>222800</v>
      </c>
      <c r="O4" s="1"/>
    </row>
    <row r="5" spans="2:15" x14ac:dyDescent="0.25">
      <c r="B5" s="49">
        <v>2013</v>
      </c>
      <c r="C5" s="123">
        <f>$K$3*12</f>
        <v>13947.119999999999</v>
      </c>
      <c r="D5" s="123">
        <f>F4*0.0486</f>
        <v>10692</v>
      </c>
      <c r="E5" s="123">
        <f>C5-D5</f>
        <v>3255.119999999999</v>
      </c>
      <c r="F5" s="123">
        <f>F4-E5</f>
        <v>216744.88</v>
      </c>
      <c r="J5" s="26" t="s">
        <v>65</v>
      </c>
      <c r="K5" s="28">
        <v>891</v>
      </c>
      <c r="N5" s="2" t="s">
        <v>46</v>
      </c>
      <c r="O5" s="19">
        <v>5000</v>
      </c>
    </row>
    <row r="6" spans="2:15" x14ac:dyDescent="0.25">
      <c r="B6" s="49">
        <v>2014</v>
      </c>
      <c r="C6" s="123">
        <f t="shared" ref="C6:C19" si="0">$K$3*12</f>
        <v>13947.119999999999</v>
      </c>
      <c r="D6" s="123">
        <f t="shared" ref="D6:D8" si="1">F5*0.0486</f>
        <v>10533.801168</v>
      </c>
      <c r="E6" s="123">
        <f t="shared" ref="E6:E8" si="2">C6-D6</f>
        <v>3413.318831999999</v>
      </c>
      <c r="F6" s="123">
        <f t="shared" ref="F6:F7" si="3">F5-E6</f>
        <v>213331.56116800001</v>
      </c>
      <c r="J6" s="26" t="s">
        <v>66</v>
      </c>
      <c r="K6" s="28">
        <v>418410.26</v>
      </c>
      <c r="N6" s="2" t="s">
        <v>47</v>
      </c>
      <c r="O6" s="19">
        <v>220000</v>
      </c>
    </row>
    <row r="7" spans="2:15" x14ac:dyDescent="0.25">
      <c r="B7" s="49">
        <v>2015</v>
      </c>
      <c r="C7" s="123">
        <f t="shared" si="0"/>
        <v>13947.119999999999</v>
      </c>
      <c r="D7" s="123">
        <f t="shared" si="1"/>
        <v>10367.913872764801</v>
      </c>
      <c r="E7" s="123">
        <f t="shared" si="2"/>
        <v>3579.2061272351984</v>
      </c>
      <c r="F7" s="123">
        <f t="shared" si="3"/>
        <v>209752.35504076481</v>
      </c>
      <c r="J7" s="26" t="s">
        <v>67</v>
      </c>
      <c r="K7" s="28">
        <v>198410.26</v>
      </c>
    </row>
    <row r="8" spans="2:15" x14ac:dyDescent="0.25">
      <c r="B8" s="49">
        <v>2016</v>
      </c>
      <c r="C8" s="123">
        <f t="shared" si="0"/>
        <v>13947.119999999999</v>
      </c>
      <c r="D8" s="123">
        <f t="shared" si="1"/>
        <v>10193.964454981169</v>
      </c>
      <c r="E8" s="123">
        <f t="shared" si="2"/>
        <v>3753.1555450188298</v>
      </c>
      <c r="F8" s="123">
        <f>F7-E8</f>
        <v>205999.199495746</v>
      </c>
      <c r="J8" s="26" t="s">
        <v>68</v>
      </c>
      <c r="K8" s="28">
        <v>12</v>
      </c>
    </row>
    <row r="9" spans="2:15" x14ac:dyDescent="0.25">
      <c r="B9" s="121">
        <v>2017</v>
      </c>
      <c r="C9" s="123">
        <f t="shared" si="0"/>
        <v>13947.119999999999</v>
      </c>
      <c r="D9" s="123">
        <f t="shared" ref="D9:D19" si="4">F8*0.0486</f>
        <v>10011.561095493254</v>
      </c>
      <c r="E9" s="123">
        <f t="shared" ref="E9:E19" si="5">C9-D9</f>
        <v>3935.5589045067445</v>
      </c>
      <c r="F9" s="123">
        <f t="shared" ref="F9:F19" si="6">F8-E9</f>
        <v>202063.64059123927</v>
      </c>
      <c r="J9" s="26" t="s">
        <v>69</v>
      </c>
      <c r="K9" s="26">
        <v>361</v>
      </c>
      <c r="L9" s="26" t="s">
        <v>70</v>
      </c>
    </row>
    <row r="10" spans="2:15" x14ac:dyDescent="0.25">
      <c r="B10" s="121">
        <v>2018</v>
      </c>
      <c r="C10" s="123">
        <f t="shared" si="0"/>
        <v>13947.119999999999</v>
      </c>
      <c r="D10" s="123">
        <f t="shared" si="4"/>
        <v>9820.2929327342281</v>
      </c>
      <c r="E10" s="123">
        <f t="shared" si="5"/>
        <v>4126.8270672657709</v>
      </c>
      <c r="F10" s="123">
        <f t="shared" si="6"/>
        <v>197936.81352397348</v>
      </c>
      <c r="J10" s="26" t="s">
        <v>71</v>
      </c>
      <c r="K10" s="31">
        <v>4</v>
      </c>
      <c r="L10" s="29">
        <v>8.6E-3</v>
      </c>
    </row>
    <row r="11" spans="2:15" x14ac:dyDescent="0.25">
      <c r="B11" s="121">
        <v>2019</v>
      </c>
      <c r="C11" s="123">
        <f t="shared" si="0"/>
        <v>13947.119999999999</v>
      </c>
      <c r="D11" s="123">
        <f t="shared" si="4"/>
        <v>9619.7291372651107</v>
      </c>
      <c r="E11" s="123">
        <f t="shared" si="5"/>
        <v>4327.3908627348883</v>
      </c>
      <c r="F11" s="123">
        <f t="shared" si="6"/>
        <v>193609.42266123858</v>
      </c>
      <c r="J11" s="26" t="s">
        <v>72</v>
      </c>
      <c r="K11" s="26">
        <v>0</v>
      </c>
      <c r="L11" s="29">
        <v>4.0499999999999998E-3</v>
      </c>
    </row>
    <row r="12" spans="2:15" x14ac:dyDescent="0.25">
      <c r="B12" s="121">
        <v>2020</v>
      </c>
      <c r="C12" s="123">
        <f t="shared" si="0"/>
        <v>13947.119999999999</v>
      </c>
      <c r="D12" s="123">
        <f t="shared" si="4"/>
        <v>9409.4179413361944</v>
      </c>
      <c r="E12" s="123">
        <f t="shared" si="5"/>
        <v>4537.7020586638046</v>
      </c>
      <c r="F12" s="123">
        <f t="shared" si="6"/>
        <v>189071.72060257479</v>
      </c>
      <c r="J12" s="26" t="s">
        <v>73</v>
      </c>
      <c r="K12" s="26"/>
      <c r="L12" s="29"/>
    </row>
    <row r="13" spans="2:15" x14ac:dyDescent="0.25">
      <c r="B13" s="121">
        <v>2021</v>
      </c>
      <c r="C13" s="123">
        <f t="shared" si="0"/>
        <v>13947.119999999999</v>
      </c>
      <c r="D13" s="123">
        <f t="shared" si="4"/>
        <v>9188.8856212851333</v>
      </c>
      <c r="E13" s="123">
        <f t="shared" si="5"/>
        <v>4758.2343787148657</v>
      </c>
      <c r="F13" s="123">
        <f t="shared" si="6"/>
        <v>184313.48622385992</v>
      </c>
      <c r="J13" s="26" t="s">
        <v>74</v>
      </c>
      <c r="K13" s="26">
        <v>90</v>
      </c>
      <c r="L13" s="29">
        <v>1.8600000000000001E-3</v>
      </c>
    </row>
    <row r="14" spans="2:15" x14ac:dyDescent="0.25">
      <c r="B14" s="121">
        <v>2022</v>
      </c>
      <c r="C14" s="123">
        <f t="shared" si="0"/>
        <v>13947.119999999999</v>
      </c>
      <c r="D14" s="123">
        <f t="shared" si="4"/>
        <v>8957.6354304795914</v>
      </c>
      <c r="E14" s="123">
        <f t="shared" si="5"/>
        <v>4989.4845695204076</v>
      </c>
      <c r="F14" s="123">
        <f t="shared" si="6"/>
        <v>179324.00165433952</v>
      </c>
      <c r="J14" s="26"/>
      <c r="K14" s="26"/>
      <c r="L14" s="29"/>
    </row>
    <row r="15" spans="2:15" x14ac:dyDescent="0.25">
      <c r="B15" s="121">
        <v>2023</v>
      </c>
      <c r="C15" s="123">
        <f t="shared" si="0"/>
        <v>13947.119999999999</v>
      </c>
      <c r="D15" s="123">
        <f t="shared" si="4"/>
        <v>8715.1464804008992</v>
      </c>
      <c r="E15" s="123">
        <f t="shared" si="5"/>
        <v>5231.9735195990997</v>
      </c>
      <c r="F15" s="123">
        <f t="shared" si="6"/>
        <v>174092.02813474042</v>
      </c>
      <c r="J15" t="s">
        <v>75</v>
      </c>
    </row>
    <row r="16" spans="2:15" x14ac:dyDescent="0.25">
      <c r="B16" s="121">
        <v>2024</v>
      </c>
      <c r="C16" s="123">
        <f t="shared" si="0"/>
        <v>13947.119999999999</v>
      </c>
      <c r="D16" s="123">
        <f t="shared" si="4"/>
        <v>8460.8725673483841</v>
      </c>
      <c r="E16" s="123">
        <f t="shared" si="5"/>
        <v>5486.2474326516149</v>
      </c>
      <c r="F16" s="123">
        <f t="shared" si="6"/>
        <v>168605.78070208881</v>
      </c>
      <c r="J16" s="30" t="s">
        <v>61</v>
      </c>
    </row>
    <row r="17" spans="1:10" x14ac:dyDescent="0.25">
      <c r="B17" s="121">
        <v>2025</v>
      </c>
      <c r="C17" s="123">
        <f t="shared" si="0"/>
        <v>13947.119999999999</v>
      </c>
      <c r="D17" s="123">
        <f t="shared" si="4"/>
        <v>8194.2409421215161</v>
      </c>
      <c r="E17" s="123">
        <f t="shared" si="5"/>
        <v>5752.8790578784829</v>
      </c>
      <c r="F17" s="123">
        <f t="shared" si="6"/>
        <v>162852.90164421033</v>
      </c>
    </row>
    <row r="18" spans="1:10" x14ac:dyDescent="0.25">
      <c r="B18" s="121">
        <v>2026</v>
      </c>
      <c r="C18" s="123">
        <f t="shared" si="0"/>
        <v>13947.119999999999</v>
      </c>
      <c r="D18" s="123">
        <f t="shared" si="4"/>
        <v>7914.6510199086215</v>
      </c>
      <c r="E18" s="123">
        <f t="shared" si="5"/>
        <v>6032.4689800913775</v>
      </c>
      <c r="F18" s="123">
        <f t="shared" si="6"/>
        <v>156820.43266411894</v>
      </c>
      <c r="J18" t="s">
        <v>96</v>
      </c>
    </row>
    <row r="19" spans="1:10" x14ac:dyDescent="0.25">
      <c r="B19" s="121">
        <v>2027</v>
      </c>
      <c r="C19" s="123">
        <f t="shared" si="0"/>
        <v>13947.119999999999</v>
      </c>
      <c r="D19" s="123">
        <f t="shared" si="4"/>
        <v>7621.4730274761805</v>
      </c>
      <c r="E19" s="123">
        <f t="shared" si="5"/>
        <v>6325.6469725238185</v>
      </c>
      <c r="F19" s="123">
        <f t="shared" si="6"/>
        <v>150494.78569159511</v>
      </c>
    </row>
    <row r="20" spans="1:10" x14ac:dyDescent="0.25">
      <c r="B20" s="121"/>
      <c r="C20" s="123"/>
      <c r="D20" s="123"/>
      <c r="E20" s="123"/>
      <c r="F20" s="123"/>
    </row>
    <row r="21" spans="1:10" x14ac:dyDescent="0.25">
      <c r="A21" t="s">
        <v>218</v>
      </c>
    </row>
    <row r="22" spans="1:10" x14ac:dyDescent="0.25">
      <c r="A22" s="22">
        <v>2013</v>
      </c>
      <c r="B22" s="22" t="s">
        <v>48</v>
      </c>
      <c r="C22" s="22" t="s">
        <v>49</v>
      </c>
      <c r="D22" s="22" t="s">
        <v>50</v>
      </c>
      <c r="E22" s="22" t="s">
        <v>51</v>
      </c>
      <c r="F22" s="22" t="s">
        <v>52</v>
      </c>
      <c r="G22" s="22" t="s">
        <v>53</v>
      </c>
    </row>
    <row r="23" spans="1:10" x14ac:dyDescent="0.25">
      <c r="B23">
        <v>1</v>
      </c>
      <c r="C23">
        <v>271.26</v>
      </c>
      <c r="D23">
        <v>891</v>
      </c>
      <c r="E23">
        <v>271.26</v>
      </c>
      <c r="F23">
        <v>891</v>
      </c>
      <c r="G23" s="21">
        <v>219728.74</v>
      </c>
    </row>
    <row r="24" spans="1:10" x14ac:dyDescent="0.25">
      <c r="B24">
        <v>2</v>
      </c>
      <c r="C24">
        <v>272.36</v>
      </c>
      <c r="D24">
        <v>889.9</v>
      </c>
      <c r="E24">
        <v>543.62</v>
      </c>
      <c r="F24" s="21">
        <v>1780.9</v>
      </c>
      <c r="G24" s="21">
        <v>219456.38</v>
      </c>
    </row>
    <row r="25" spans="1:10" x14ac:dyDescent="0.25">
      <c r="B25">
        <v>3</v>
      </c>
      <c r="C25">
        <v>273.45999999999998</v>
      </c>
      <c r="D25">
        <v>888.8</v>
      </c>
      <c r="E25">
        <v>817.08</v>
      </c>
      <c r="F25" s="21">
        <v>2669.7</v>
      </c>
      <c r="G25" s="21">
        <v>219182.92</v>
      </c>
    </row>
    <row r="26" spans="1:10" x14ac:dyDescent="0.25">
      <c r="B26">
        <v>4</v>
      </c>
      <c r="C26">
        <v>274.57</v>
      </c>
      <c r="D26">
        <v>887.69</v>
      </c>
      <c r="E26" s="21">
        <v>1091.6500000000001</v>
      </c>
      <c r="F26" s="21">
        <v>3557.39</v>
      </c>
      <c r="G26" s="21">
        <v>218908.35</v>
      </c>
    </row>
    <row r="27" spans="1:10" x14ac:dyDescent="0.25">
      <c r="B27">
        <v>5</v>
      </c>
      <c r="C27">
        <v>275.68</v>
      </c>
      <c r="D27">
        <v>886.58</v>
      </c>
      <c r="E27" s="21">
        <v>1367.33</v>
      </c>
      <c r="F27" s="21">
        <v>4443.97</v>
      </c>
      <c r="G27" s="21">
        <v>218632.67</v>
      </c>
    </row>
    <row r="28" spans="1:10" x14ac:dyDescent="0.25">
      <c r="B28">
        <v>6</v>
      </c>
      <c r="C28">
        <v>276.8</v>
      </c>
      <c r="D28">
        <v>885.46</v>
      </c>
      <c r="E28" s="21">
        <v>1644.13</v>
      </c>
      <c r="F28" s="21">
        <v>5329.43</v>
      </c>
      <c r="G28" s="21">
        <v>218355.87</v>
      </c>
    </row>
    <row r="29" spans="1:10" x14ac:dyDescent="0.25">
      <c r="B29">
        <v>7</v>
      </c>
      <c r="C29">
        <v>277.92</v>
      </c>
      <c r="D29">
        <v>884.34</v>
      </c>
      <c r="E29" s="21">
        <v>1922.05</v>
      </c>
      <c r="F29" s="21">
        <v>6213.77</v>
      </c>
      <c r="G29" s="21">
        <v>218077.95</v>
      </c>
    </row>
    <row r="30" spans="1:10" x14ac:dyDescent="0.25">
      <c r="B30">
        <v>8</v>
      </c>
      <c r="C30">
        <v>279.04000000000002</v>
      </c>
      <c r="D30">
        <v>883.22</v>
      </c>
      <c r="E30" s="21">
        <v>2201.09</v>
      </c>
      <c r="F30" s="21">
        <v>7096.99</v>
      </c>
      <c r="G30" s="21">
        <v>217798.91</v>
      </c>
    </row>
    <row r="31" spans="1:10" x14ac:dyDescent="0.25">
      <c r="B31">
        <v>9</v>
      </c>
      <c r="C31">
        <v>280.17</v>
      </c>
      <c r="D31">
        <v>882.09</v>
      </c>
      <c r="E31" s="21">
        <v>2481.2600000000002</v>
      </c>
      <c r="F31" s="21">
        <v>7979.08</v>
      </c>
      <c r="G31" s="21">
        <v>217518.74</v>
      </c>
    </row>
    <row r="32" spans="1:10" x14ac:dyDescent="0.25">
      <c r="B32">
        <v>10</v>
      </c>
      <c r="C32">
        <v>281.31</v>
      </c>
      <c r="D32">
        <v>880.95</v>
      </c>
      <c r="E32" s="21">
        <v>2762.57</v>
      </c>
      <c r="F32" s="21">
        <v>8860.0300000000007</v>
      </c>
      <c r="G32" s="21">
        <v>217237.43</v>
      </c>
    </row>
    <row r="33" spans="1:17" x14ac:dyDescent="0.25">
      <c r="B33">
        <v>11</v>
      </c>
      <c r="C33">
        <v>282.45</v>
      </c>
      <c r="D33">
        <v>879.81</v>
      </c>
      <c r="E33" s="21">
        <v>3045.02</v>
      </c>
      <c r="F33" s="21">
        <v>9739.84</v>
      </c>
      <c r="G33" s="21">
        <v>216954.98</v>
      </c>
    </row>
    <row r="34" spans="1:17" x14ac:dyDescent="0.25">
      <c r="B34">
        <v>12</v>
      </c>
      <c r="C34">
        <v>283.58999999999997</v>
      </c>
      <c r="D34">
        <v>878.67</v>
      </c>
      <c r="E34" s="21">
        <v>3328.61</v>
      </c>
      <c r="F34" s="21">
        <v>10618.51</v>
      </c>
      <c r="G34" s="21">
        <v>216671.39</v>
      </c>
    </row>
    <row r="36" spans="1:17" x14ac:dyDescent="0.25">
      <c r="A36" s="22">
        <v>2014</v>
      </c>
      <c r="B36" s="22" t="s">
        <v>48</v>
      </c>
      <c r="C36" s="22" t="s">
        <v>49</v>
      </c>
      <c r="D36" s="22" t="s">
        <v>50</v>
      </c>
      <c r="E36" s="22" t="s">
        <v>51</v>
      </c>
      <c r="F36" s="22" t="s">
        <v>52</v>
      </c>
      <c r="G36" s="22" t="s">
        <v>53</v>
      </c>
    </row>
    <row r="37" spans="1:17" x14ac:dyDescent="0.25">
      <c r="B37">
        <v>13</v>
      </c>
      <c r="C37">
        <v>284.74</v>
      </c>
      <c r="D37">
        <v>877.52</v>
      </c>
      <c r="E37" s="21">
        <v>3613.35</v>
      </c>
      <c r="F37" s="21">
        <v>11496.03</v>
      </c>
      <c r="G37" s="21">
        <v>216386.65</v>
      </c>
    </row>
    <row r="38" spans="1:17" x14ac:dyDescent="0.25">
      <c r="B38">
        <v>14</v>
      </c>
      <c r="C38">
        <v>285.89</v>
      </c>
      <c r="D38">
        <v>876.37</v>
      </c>
      <c r="E38" s="21">
        <v>3899.24</v>
      </c>
      <c r="F38" s="21">
        <v>12372.4</v>
      </c>
      <c r="G38" s="21">
        <v>216100.76</v>
      </c>
    </row>
    <row r="39" spans="1:17" x14ac:dyDescent="0.25">
      <c r="B39">
        <v>15</v>
      </c>
      <c r="C39">
        <v>287.05</v>
      </c>
      <c r="D39">
        <v>875.21</v>
      </c>
      <c r="E39" s="21">
        <v>4186.29</v>
      </c>
      <c r="F39" s="21">
        <v>13247.61</v>
      </c>
      <c r="G39" s="21">
        <v>215813.71</v>
      </c>
    </row>
    <row r="40" spans="1:17" x14ac:dyDescent="0.25">
      <c r="B40">
        <v>16</v>
      </c>
      <c r="C40">
        <v>288.20999999999998</v>
      </c>
      <c r="D40">
        <v>874.05</v>
      </c>
      <c r="E40" s="21">
        <v>4474.5</v>
      </c>
      <c r="F40" s="21">
        <v>14121.66</v>
      </c>
      <c r="G40" s="21">
        <v>215525.5</v>
      </c>
    </row>
    <row r="41" spans="1:17" x14ac:dyDescent="0.25">
      <c r="B41">
        <v>17</v>
      </c>
      <c r="C41">
        <v>289.38</v>
      </c>
      <c r="D41">
        <v>872.88</v>
      </c>
      <c r="E41" s="21">
        <v>4763.88</v>
      </c>
      <c r="F41" s="21">
        <v>14994.54</v>
      </c>
      <c r="G41" s="21">
        <v>215236.12</v>
      </c>
      <c r="Q41" t="s">
        <v>209</v>
      </c>
    </row>
    <row r="42" spans="1:17" x14ac:dyDescent="0.25">
      <c r="B42">
        <v>18</v>
      </c>
      <c r="C42">
        <v>290.55</v>
      </c>
      <c r="D42">
        <v>871.71</v>
      </c>
      <c r="E42" s="21">
        <v>5054.43</v>
      </c>
      <c r="F42" s="21">
        <v>15866.25</v>
      </c>
      <c r="G42" s="21">
        <v>214945.57</v>
      </c>
    </row>
    <row r="43" spans="1:17" x14ac:dyDescent="0.25">
      <c r="B43">
        <v>19</v>
      </c>
      <c r="C43">
        <v>291.73</v>
      </c>
      <c r="D43">
        <v>870.53</v>
      </c>
      <c r="E43" s="21">
        <v>5346.16</v>
      </c>
      <c r="F43" s="21">
        <v>16736.78</v>
      </c>
      <c r="G43" s="21">
        <v>214653.84</v>
      </c>
    </row>
    <row r="44" spans="1:17" x14ac:dyDescent="0.25">
      <c r="B44">
        <v>20</v>
      </c>
      <c r="C44">
        <v>292.91000000000003</v>
      </c>
      <c r="D44">
        <v>869.35</v>
      </c>
      <c r="E44" s="21">
        <v>5639.07</v>
      </c>
      <c r="F44" s="21">
        <v>17606.13</v>
      </c>
      <c r="G44" s="21">
        <v>214360.93</v>
      </c>
    </row>
    <row r="45" spans="1:17" x14ac:dyDescent="0.25">
      <c r="B45">
        <v>21</v>
      </c>
      <c r="C45">
        <v>294.10000000000002</v>
      </c>
      <c r="D45">
        <v>868.16</v>
      </c>
      <c r="E45" s="21">
        <v>5933.17</v>
      </c>
      <c r="F45" s="21">
        <v>18474.29</v>
      </c>
      <c r="G45" s="21">
        <v>214066.83</v>
      </c>
    </row>
    <row r="46" spans="1:17" x14ac:dyDescent="0.25">
      <c r="B46">
        <v>22</v>
      </c>
      <c r="C46">
        <v>295.29000000000002</v>
      </c>
      <c r="D46">
        <v>866.97</v>
      </c>
      <c r="E46" s="21">
        <v>6228.46</v>
      </c>
      <c r="F46" s="21">
        <v>19341.259999999998</v>
      </c>
      <c r="G46" s="21">
        <v>213771.54</v>
      </c>
    </row>
    <row r="47" spans="1:17" x14ac:dyDescent="0.25">
      <c r="B47">
        <v>23</v>
      </c>
      <c r="C47">
        <v>296.49</v>
      </c>
      <c r="D47">
        <v>865.77</v>
      </c>
      <c r="E47" s="21">
        <v>6524.95</v>
      </c>
      <c r="F47" s="21">
        <v>20207.03</v>
      </c>
      <c r="G47" s="21">
        <v>213475.05</v>
      </c>
      <c r="I47" s="110"/>
      <c r="K47" s="112"/>
      <c r="L47" s="111"/>
      <c r="M47" s="111"/>
      <c r="N47" s="111"/>
      <c r="O47" s="111"/>
    </row>
    <row r="48" spans="1:17" x14ac:dyDescent="0.25">
      <c r="B48">
        <v>24</v>
      </c>
      <c r="C48">
        <v>297.69</v>
      </c>
      <c r="D48">
        <v>864.57</v>
      </c>
      <c r="E48" s="21">
        <v>6822.64</v>
      </c>
      <c r="F48" s="21">
        <v>21071.599999999999</v>
      </c>
      <c r="G48" s="21">
        <v>213177.36</v>
      </c>
    </row>
    <row r="49" spans="1:7" x14ac:dyDescent="0.25">
      <c r="A49" s="22">
        <v>2015</v>
      </c>
      <c r="B49" s="22" t="s">
        <v>48</v>
      </c>
      <c r="C49" s="22" t="s">
        <v>49</v>
      </c>
      <c r="D49" s="22" t="s">
        <v>50</v>
      </c>
      <c r="E49" s="22" t="s">
        <v>51</v>
      </c>
      <c r="F49" s="22" t="s">
        <v>52</v>
      </c>
      <c r="G49" s="22" t="s">
        <v>53</v>
      </c>
    </row>
    <row r="50" spans="1:7" x14ac:dyDescent="0.25">
      <c r="B50">
        <v>25</v>
      </c>
      <c r="C50">
        <v>298.89</v>
      </c>
      <c r="D50">
        <v>863.37</v>
      </c>
      <c r="E50" s="21">
        <v>7121.53</v>
      </c>
      <c r="F50" s="21">
        <v>21934.97</v>
      </c>
      <c r="G50" s="21">
        <v>212878.47</v>
      </c>
    </row>
    <row r="51" spans="1:7" x14ac:dyDescent="0.25">
      <c r="B51">
        <v>26</v>
      </c>
      <c r="C51">
        <v>300.10000000000002</v>
      </c>
      <c r="D51">
        <v>862.16</v>
      </c>
      <c r="E51" s="21">
        <v>7421.63</v>
      </c>
      <c r="F51" s="21">
        <v>22797.13</v>
      </c>
      <c r="G51" s="21">
        <v>212578.37</v>
      </c>
    </row>
    <row r="52" spans="1:7" x14ac:dyDescent="0.25">
      <c r="B52">
        <v>27</v>
      </c>
      <c r="C52">
        <v>301.32</v>
      </c>
      <c r="D52">
        <v>860.94</v>
      </c>
      <c r="E52" s="21">
        <v>7722.95</v>
      </c>
      <c r="F52" s="21">
        <v>23658.07</v>
      </c>
      <c r="G52" s="21">
        <v>212277.05</v>
      </c>
    </row>
    <row r="53" spans="1:7" x14ac:dyDescent="0.25">
      <c r="B53">
        <v>28</v>
      </c>
      <c r="C53">
        <v>302.54000000000002</v>
      </c>
      <c r="D53">
        <v>859.72</v>
      </c>
      <c r="E53" s="21">
        <v>8025.49</v>
      </c>
      <c r="F53" s="21">
        <v>24517.79</v>
      </c>
      <c r="G53" s="21">
        <v>211974.51</v>
      </c>
    </row>
    <row r="54" spans="1:7" x14ac:dyDescent="0.25">
      <c r="B54">
        <v>29</v>
      </c>
      <c r="C54">
        <v>303.76</v>
      </c>
      <c r="D54">
        <v>858.5</v>
      </c>
      <c r="E54" s="21">
        <v>8329.25</v>
      </c>
      <c r="F54" s="21">
        <v>25376.29</v>
      </c>
      <c r="G54" s="21">
        <v>211670.75</v>
      </c>
    </row>
    <row r="55" spans="1:7" x14ac:dyDescent="0.25">
      <c r="B55">
        <v>30</v>
      </c>
      <c r="C55">
        <v>304.99</v>
      </c>
      <c r="D55">
        <v>857.27</v>
      </c>
      <c r="E55" s="21">
        <v>8634.24</v>
      </c>
      <c r="F55" s="21">
        <v>26233.56</v>
      </c>
      <c r="G55" s="21">
        <v>211365.76000000001</v>
      </c>
    </row>
    <row r="56" spans="1:7" x14ac:dyDescent="0.25">
      <c r="B56">
        <v>31</v>
      </c>
      <c r="C56">
        <v>306.23</v>
      </c>
      <c r="D56">
        <v>856.03</v>
      </c>
      <c r="E56" s="21">
        <v>8940.4699999999993</v>
      </c>
      <c r="F56" s="21">
        <v>27089.59</v>
      </c>
      <c r="G56" s="21">
        <v>211059.53</v>
      </c>
    </row>
    <row r="57" spans="1:7" x14ac:dyDescent="0.25">
      <c r="B57">
        <v>32</v>
      </c>
      <c r="C57">
        <v>307.47000000000003</v>
      </c>
      <c r="D57">
        <v>854.79</v>
      </c>
      <c r="E57" s="21">
        <v>9247.94</v>
      </c>
      <c r="F57" s="21">
        <v>27944.38</v>
      </c>
      <c r="G57" s="21">
        <v>210752.06</v>
      </c>
    </row>
    <row r="58" spans="1:7" x14ac:dyDescent="0.25">
      <c r="B58">
        <v>33</v>
      </c>
      <c r="C58">
        <v>308.70999999999998</v>
      </c>
      <c r="D58">
        <v>853.55</v>
      </c>
      <c r="E58" s="21">
        <v>9556.65</v>
      </c>
      <c r="F58" s="21">
        <v>28797.93</v>
      </c>
      <c r="G58" s="21">
        <v>210443.35</v>
      </c>
    </row>
    <row r="59" spans="1:7" x14ac:dyDescent="0.25">
      <c r="B59">
        <v>34</v>
      </c>
      <c r="C59">
        <v>309.95999999999998</v>
      </c>
      <c r="D59">
        <v>852.3</v>
      </c>
      <c r="E59" s="21">
        <v>9866.61</v>
      </c>
      <c r="F59" s="21">
        <v>29650.23</v>
      </c>
      <c r="G59" s="21">
        <v>210133.39</v>
      </c>
    </row>
    <row r="60" spans="1:7" x14ac:dyDescent="0.25">
      <c r="B60">
        <v>35</v>
      </c>
      <c r="C60">
        <v>311.22000000000003</v>
      </c>
      <c r="D60">
        <v>851.04</v>
      </c>
      <c r="E60" s="21">
        <v>10177.83</v>
      </c>
      <c r="F60" s="21">
        <v>30501.27</v>
      </c>
      <c r="G60" s="21">
        <v>209822.17</v>
      </c>
    </row>
    <row r="61" spans="1:7" x14ac:dyDescent="0.25">
      <c r="B61">
        <v>36</v>
      </c>
      <c r="C61">
        <v>312.48</v>
      </c>
      <c r="D61">
        <v>849.78</v>
      </c>
      <c r="E61" s="21">
        <v>10490.31</v>
      </c>
      <c r="F61" s="21">
        <v>31351.05</v>
      </c>
      <c r="G61" s="21">
        <v>209509.69</v>
      </c>
    </row>
    <row r="62" spans="1:7" x14ac:dyDescent="0.25">
      <c r="A62" s="22">
        <v>2016</v>
      </c>
      <c r="B62" s="22" t="s">
        <v>48</v>
      </c>
      <c r="C62" s="22" t="s">
        <v>49</v>
      </c>
      <c r="D62" s="22" t="s">
        <v>50</v>
      </c>
      <c r="E62" s="22" t="s">
        <v>51</v>
      </c>
      <c r="F62" s="22" t="s">
        <v>52</v>
      </c>
      <c r="G62" s="22" t="s">
        <v>53</v>
      </c>
    </row>
    <row r="63" spans="1:7" x14ac:dyDescent="0.25">
      <c r="B63">
        <v>37</v>
      </c>
      <c r="C63">
        <v>313.75</v>
      </c>
      <c r="D63">
        <v>848.51</v>
      </c>
      <c r="E63" s="21">
        <v>10804.06</v>
      </c>
      <c r="F63" s="21">
        <v>32199.56</v>
      </c>
      <c r="G63" s="21">
        <v>209195.94</v>
      </c>
    </row>
    <row r="64" spans="1:7" x14ac:dyDescent="0.25">
      <c r="B64">
        <v>38</v>
      </c>
      <c r="C64">
        <v>315.02</v>
      </c>
      <c r="D64">
        <v>847.24</v>
      </c>
      <c r="E64" s="21">
        <v>11119.08</v>
      </c>
      <c r="F64" s="21">
        <v>33046.800000000003</v>
      </c>
      <c r="G64" s="21">
        <v>208880.92</v>
      </c>
    </row>
    <row r="65" spans="2:7" x14ac:dyDescent="0.25">
      <c r="B65">
        <v>39</v>
      </c>
      <c r="C65">
        <v>316.29000000000002</v>
      </c>
      <c r="D65">
        <v>845.97</v>
      </c>
      <c r="E65" s="21">
        <v>11435.37</v>
      </c>
      <c r="F65" s="21">
        <v>33892.769999999997</v>
      </c>
      <c r="G65" s="21">
        <v>208564.63</v>
      </c>
    </row>
    <row r="66" spans="2:7" x14ac:dyDescent="0.25">
      <c r="B66">
        <v>40</v>
      </c>
      <c r="C66">
        <v>317.57</v>
      </c>
      <c r="D66">
        <v>844.69</v>
      </c>
      <c r="E66" s="21">
        <v>11752.94</v>
      </c>
      <c r="F66" s="21">
        <v>34737.46</v>
      </c>
      <c r="G66" s="21">
        <v>208247.06</v>
      </c>
    </row>
    <row r="67" spans="2:7" x14ac:dyDescent="0.25">
      <c r="B67">
        <v>41</v>
      </c>
      <c r="C67">
        <v>318.86</v>
      </c>
      <c r="D67">
        <v>843.4</v>
      </c>
      <c r="E67" s="21">
        <v>12071.8</v>
      </c>
      <c r="F67" s="21">
        <v>35580.86</v>
      </c>
      <c r="G67" s="21">
        <v>207928.2</v>
      </c>
    </row>
    <row r="68" spans="2:7" x14ac:dyDescent="0.25">
      <c r="B68">
        <v>42</v>
      </c>
      <c r="C68">
        <v>320.14999999999998</v>
      </c>
      <c r="D68">
        <v>842.11</v>
      </c>
      <c r="E68" s="21">
        <v>12391.95</v>
      </c>
      <c r="F68" s="21">
        <v>36422.97</v>
      </c>
      <c r="G68" s="21">
        <v>207608.05</v>
      </c>
    </row>
    <row r="69" spans="2:7" x14ac:dyDescent="0.25">
      <c r="B69">
        <v>43</v>
      </c>
      <c r="C69">
        <v>321.45</v>
      </c>
      <c r="D69">
        <v>840.81</v>
      </c>
      <c r="E69" s="21">
        <v>12713.4</v>
      </c>
      <c r="F69" s="21">
        <v>37263.78</v>
      </c>
      <c r="G69" s="21">
        <v>207286.6</v>
      </c>
    </row>
    <row r="70" spans="2:7" x14ac:dyDescent="0.25">
      <c r="B70">
        <v>44</v>
      </c>
      <c r="C70">
        <v>322.75</v>
      </c>
      <c r="D70">
        <v>839.51</v>
      </c>
      <c r="E70" s="21">
        <v>13036.15</v>
      </c>
      <c r="F70" s="21">
        <v>38103.29</v>
      </c>
      <c r="G70" s="21">
        <v>206963.85</v>
      </c>
    </row>
    <row r="71" spans="2:7" x14ac:dyDescent="0.25">
      <c r="B71">
        <v>45</v>
      </c>
      <c r="C71">
        <v>324.06</v>
      </c>
      <c r="D71">
        <v>838.2</v>
      </c>
      <c r="E71" s="21">
        <v>13360.21</v>
      </c>
      <c r="F71" s="21">
        <v>38941.49</v>
      </c>
      <c r="G71" s="21">
        <v>206639.79</v>
      </c>
    </row>
    <row r="72" spans="2:7" x14ac:dyDescent="0.25">
      <c r="B72">
        <v>46</v>
      </c>
      <c r="C72">
        <v>325.37</v>
      </c>
      <c r="D72">
        <v>836.89</v>
      </c>
      <c r="E72" s="21">
        <v>13685.58</v>
      </c>
      <c r="F72" s="21">
        <v>39778.379999999997</v>
      </c>
      <c r="G72" s="21">
        <v>206314.42</v>
      </c>
    </row>
    <row r="73" spans="2:7" x14ac:dyDescent="0.25">
      <c r="B73">
        <v>47</v>
      </c>
      <c r="C73">
        <v>326.69</v>
      </c>
      <c r="D73">
        <v>835.57</v>
      </c>
      <c r="E73" s="21">
        <v>14012.27</v>
      </c>
      <c r="F73" s="21">
        <v>40613.949999999997</v>
      </c>
      <c r="G73" s="21">
        <v>205987.73</v>
      </c>
    </row>
    <row r="74" spans="2:7" x14ac:dyDescent="0.25">
      <c r="B74">
        <v>48</v>
      </c>
      <c r="C74">
        <v>328.01</v>
      </c>
      <c r="D74">
        <v>834.25</v>
      </c>
      <c r="E74" s="21">
        <v>14340.28</v>
      </c>
      <c r="F74" s="21">
        <v>41448.199999999997</v>
      </c>
      <c r="G74" s="21">
        <v>205659.72</v>
      </c>
    </row>
  </sheetData>
  <mergeCells count="1">
    <mergeCell ref="B1:I2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Assumptions</vt:lpstr>
      <vt:lpstr>ForecastWithIRR&amp;NPV</vt:lpstr>
      <vt:lpstr>Wacc-ReleverBetaCalc</vt:lpstr>
      <vt:lpstr>Amortization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2013-12-13T18:07:03Z</dcterms:created>
  <dcterms:modified xsi:type="dcterms:W3CDTF">2019-05-16T21:26:46Z</dcterms:modified>
</cp:coreProperties>
</file>