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8595" yWindow="-75" windowWidth="11925" windowHeight="8040" tabRatio="828"/>
  </bookViews>
  <sheets>
    <sheet name="Rasberry Gardens" sheetId="1" r:id="rId1"/>
    <sheet name="Mortgage" sheetId="2" r:id="rId2"/>
    <sheet name="Assumptions" sheetId="3" r:id="rId3"/>
    <sheet name="WACC reason" sheetId="4" r:id="rId4"/>
  </sheets>
  <definedNames>
    <definedName name="_xlnm.Print_Area" localSheetId="0">'Rasberry Gardens'!$A$1:$W$166</definedName>
  </definedNames>
  <calcPr calcId="145621"/>
</workbook>
</file>

<file path=xl/calcChain.xml><?xml version="1.0" encoding="utf-8"?>
<calcChain xmlns="http://schemas.openxmlformats.org/spreadsheetml/2006/main">
  <c r="S141" i="1" l="1"/>
  <c r="S33" i="1"/>
  <c r="Q33" i="1"/>
  <c r="O33" i="1"/>
  <c r="M33" i="1"/>
  <c r="K33" i="1"/>
  <c r="I33" i="1"/>
  <c r="M32" i="1"/>
  <c r="K32" i="1"/>
  <c r="I32" i="1"/>
  <c r="S153" i="1"/>
  <c r="J149" i="1"/>
  <c r="L149" i="1"/>
  <c r="N149" i="1"/>
  <c r="P149" i="1"/>
  <c r="R149" i="1"/>
  <c r="J147" i="1"/>
  <c r="L147" i="1"/>
  <c r="N147" i="1"/>
  <c r="P147" i="1"/>
  <c r="R147" i="1"/>
  <c r="J146" i="1"/>
  <c r="L146" i="1"/>
  <c r="N146" i="1"/>
  <c r="P146" i="1"/>
  <c r="R146" i="1"/>
  <c r="G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E145" i="1"/>
  <c r="C140" i="1"/>
  <c r="J133" i="1"/>
  <c r="J136" i="1"/>
  <c r="L133" i="1"/>
  <c r="L136" i="1"/>
  <c r="N133" i="1"/>
  <c r="N136" i="1"/>
  <c r="P133" i="1"/>
  <c r="P136" i="1"/>
  <c r="R133" i="1"/>
  <c r="R136" i="1"/>
  <c r="N132" i="1"/>
  <c r="L132" i="1"/>
  <c r="L134" i="1"/>
  <c r="G111" i="1"/>
  <c r="C87" i="1"/>
  <c r="C103" i="1"/>
  <c r="H81" i="1"/>
  <c r="C82" i="1"/>
  <c r="C75" i="1"/>
  <c r="C77" i="1"/>
  <c r="H91" i="1"/>
  <c r="O29" i="1"/>
  <c r="M29" i="1"/>
  <c r="M21" i="1"/>
  <c r="S42" i="1"/>
  <c r="S27" i="1"/>
  <c r="S133" i="1"/>
  <c r="Q42" i="1"/>
  <c r="O42" i="1"/>
  <c r="S29" i="1"/>
  <c r="Q29" i="1"/>
  <c r="Q27" i="1"/>
  <c r="Q133" i="1"/>
  <c r="O27" i="1"/>
  <c r="O133" i="1"/>
  <c r="M27" i="1"/>
  <c r="M133" i="1"/>
  <c r="S21" i="1"/>
  <c r="Q21" i="1"/>
  <c r="O21" i="1"/>
  <c r="E40" i="1"/>
  <c r="E147" i="1"/>
  <c r="E49" i="1"/>
  <c r="E149" i="1"/>
  <c r="H4" i="2"/>
  <c r="E2" i="2"/>
  <c r="E22" i="1"/>
  <c r="E16" i="1"/>
  <c r="D2" i="2"/>
  <c r="E6" i="1"/>
  <c r="E39" i="1"/>
  <c r="E146" i="1"/>
  <c r="K42" i="1"/>
  <c r="I42" i="1"/>
  <c r="G42" i="1"/>
  <c r="K21" i="1"/>
  <c r="I21" i="1"/>
  <c r="G21" i="1"/>
  <c r="E46" i="2"/>
  <c r="E49" i="2"/>
  <c r="E31" i="2"/>
  <c r="E35" i="2"/>
  <c r="E39" i="2"/>
  <c r="E17" i="2"/>
  <c r="E21" i="2"/>
  <c r="E25" i="2"/>
  <c r="E4" i="2"/>
  <c r="E8" i="2"/>
  <c r="E12" i="2"/>
  <c r="C2" i="2"/>
  <c r="F2" i="2"/>
  <c r="B3" i="2"/>
  <c r="D3" i="2"/>
  <c r="E47" i="2"/>
  <c r="E55" i="2"/>
  <c r="E34" i="2"/>
  <c r="E38" i="2"/>
  <c r="E30" i="2"/>
  <c r="E20" i="2"/>
  <c r="E24" i="2"/>
  <c r="E16" i="2"/>
  <c r="E7" i="2"/>
  <c r="E11" i="2"/>
  <c r="E44" i="2"/>
  <c r="E52" i="2"/>
  <c r="E48" i="2"/>
  <c r="E15" i="1"/>
  <c r="E20" i="1"/>
  <c r="E29" i="1"/>
  <c r="K29" i="1"/>
  <c r="G29" i="1"/>
  <c r="I29" i="1"/>
  <c r="I27" i="1"/>
  <c r="I133" i="1"/>
  <c r="G11" i="1"/>
  <c r="I11" i="1"/>
  <c r="K11" i="1"/>
  <c r="M11" i="1"/>
  <c r="O11" i="1"/>
  <c r="Q11" i="1"/>
  <c r="S11" i="1"/>
  <c r="G27" i="1"/>
  <c r="G133" i="1"/>
  <c r="K27" i="1"/>
  <c r="K133" i="1"/>
  <c r="G8" i="1"/>
  <c r="G5" i="1"/>
  <c r="I5" i="1"/>
  <c r="E27" i="1"/>
  <c r="E133" i="1"/>
  <c r="E19" i="1"/>
  <c r="E23" i="1"/>
  <c r="E25" i="1"/>
  <c r="G6" i="1"/>
  <c r="G4" i="1"/>
  <c r="G15" i="1"/>
  <c r="I6" i="1"/>
  <c r="K6" i="1"/>
  <c r="I8" i="1"/>
  <c r="K8" i="1"/>
  <c r="M8" i="1"/>
  <c r="G49" i="1"/>
  <c r="G149" i="1"/>
  <c r="G22" i="1"/>
  <c r="G16" i="1"/>
  <c r="G39" i="1"/>
  <c r="G146" i="1"/>
  <c r="C160" i="1"/>
  <c r="G40" i="1"/>
  <c r="G147" i="1"/>
  <c r="I4" i="1"/>
  <c r="K4" i="1"/>
  <c r="M4" i="1"/>
  <c r="N134" i="1"/>
  <c r="I22" i="1"/>
  <c r="I16" i="1"/>
  <c r="I39" i="1"/>
  <c r="I146" i="1"/>
  <c r="I15" i="1"/>
  <c r="K5" i="1"/>
  <c r="I40" i="1"/>
  <c r="I147" i="1"/>
  <c r="I49" i="1"/>
  <c r="I149" i="1"/>
  <c r="L135" i="1"/>
  <c r="N135" i="1"/>
  <c r="G112" i="1"/>
  <c r="R134" i="1"/>
  <c r="P134" i="1"/>
  <c r="J134" i="1"/>
  <c r="L137" i="1"/>
  <c r="N137" i="1"/>
  <c r="N150" i="1"/>
  <c r="P135" i="1"/>
  <c r="J135" i="1"/>
  <c r="R135" i="1"/>
  <c r="I20" i="1"/>
  <c r="I19" i="1"/>
  <c r="G113" i="1"/>
  <c r="H111" i="1"/>
  <c r="C109" i="1"/>
  <c r="K40" i="1"/>
  <c r="K22" i="1"/>
  <c r="K16" i="1"/>
  <c r="M5" i="1"/>
  <c r="K49" i="1"/>
  <c r="K149" i="1"/>
  <c r="R137" i="1"/>
  <c r="R150" i="1"/>
  <c r="N160" i="1"/>
  <c r="J137" i="1"/>
  <c r="J150" i="1"/>
  <c r="P137" i="1"/>
  <c r="P150" i="1"/>
  <c r="L150" i="1"/>
  <c r="L160" i="1"/>
  <c r="K147" i="1"/>
  <c r="H112" i="1"/>
  <c r="C110" i="1"/>
  <c r="O5" i="1"/>
  <c r="I23" i="1"/>
  <c r="I25" i="1"/>
  <c r="P160" i="1"/>
  <c r="J160" i="1"/>
  <c r="R160" i="1"/>
  <c r="Q5" i="1"/>
  <c r="S5" i="1"/>
  <c r="O4" i="1"/>
  <c r="O8" i="1"/>
  <c r="M40" i="1"/>
  <c r="M147" i="1"/>
  <c r="M49" i="1"/>
  <c r="M149" i="1"/>
  <c r="M22" i="1"/>
  <c r="M16" i="1"/>
  <c r="M6" i="1"/>
  <c r="M15" i="1"/>
  <c r="K15" i="1"/>
  <c r="K39" i="1"/>
  <c r="I132" i="1"/>
  <c r="G19" i="1"/>
  <c r="G23" i="1"/>
  <c r="G25" i="1"/>
  <c r="G20" i="1"/>
  <c r="E132" i="1"/>
  <c r="E110" i="2"/>
  <c r="E108" i="2"/>
  <c r="E106" i="2"/>
  <c r="E104" i="2"/>
  <c r="E102" i="2"/>
  <c r="E100" i="2"/>
  <c r="E97" i="2"/>
  <c r="E95" i="2"/>
  <c r="E93" i="2"/>
  <c r="E91" i="2"/>
  <c r="E89" i="2"/>
  <c r="E87" i="2"/>
  <c r="E82" i="2"/>
  <c r="E80" i="2"/>
  <c r="E78" i="2"/>
  <c r="E76" i="2"/>
  <c r="E74" i="2"/>
  <c r="E72" i="2"/>
  <c r="E69" i="2"/>
  <c r="E67" i="2"/>
  <c r="E65" i="2"/>
  <c r="E63" i="2"/>
  <c r="E61" i="2"/>
  <c r="E59" i="2"/>
  <c r="E111" i="2"/>
  <c r="E109" i="2"/>
  <c r="E107" i="2"/>
  <c r="E105" i="2"/>
  <c r="E103" i="2"/>
  <c r="E101" i="2"/>
  <c r="E96" i="2"/>
  <c r="E94" i="2"/>
  <c r="E92" i="2"/>
  <c r="E90" i="2"/>
  <c r="E88" i="2"/>
  <c r="E86" i="2"/>
  <c r="E83" i="2"/>
  <c r="E81" i="2"/>
  <c r="E79" i="2"/>
  <c r="E77" i="2"/>
  <c r="E75" i="2"/>
  <c r="E73" i="2"/>
  <c r="E68" i="2"/>
  <c r="E66" i="2"/>
  <c r="E64" i="2"/>
  <c r="E62" i="2"/>
  <c r="E60" i="2"/>
  <c r="E58" i="2"/>
  <c r="E45" i="2"/>
  <c r="E53" i="2"/>
  <c r="E33" i="2"/>
  <c r="E37" i="2"/>
  <c r="E41" i="2"/>
  <c r="E19" i="2"/>
  <c r="E23" i="2"/>
  <c r="E27" i="2"/>
  <c r="E6" i="2"/>
  <c r="E10" i="2"/>
  <c r="E3" i="2"/>
  <c r="C3" i="2"/>
  <c r="E51" i="2"/>
  <c r="E32" i="2"/>
  <c r="E36" i="2"/>
  <c r="E40" i="2"/>
  <c r="E18" i="2"/>
  <c r="E22" i="2"/>
  <c r="E26" i="2"/>
  <c r="E5" i="2"/>
  <c r="E9" i="2"/>
  <c r="E13" i="2"/>
  <c r="E54" i="2"/>
  <c r="E50" i="2"/>
  <c r="M19" i="1"/>
  <c r="M23" i="1"/>
  <c r="M25" i="1"/>
  <c r="M20" i="1"/>
  <c r="F3" i="2"/>
  <c r="B4" i="2"/>
  <c r="G132" i="1"/>
  <c r="K19" i="1"/>
  <c r="K20" i="1"/>
  <c r="K146" i="1"/>
  <c r="O6" i="1"/>
  <c r="M39" i="1"/>
  <c r="Q8" i="1"/>
  <c r="O22" i="1"/>
  <c r="O16" i="1"/>
  <c r="O49" i="1"/>
  <c r="O149" i="1"/>
  <c r="O40" i="1"/>
  <c r="O147" i="1"/>
  <c r="O15" i="1"/>
  <c r="Q4" i="1"/>
  <c r="O20" i="1"/>
  <c r="O19" i="1"/>
  <c r="O23" i="1"/>
  <c r="O25" i="1"/>
  <c r="S8" i="1"/>
  <c r="Q40" i="1"/>
  <c r="Q147" i="1"/>
  <c r="Q22" i="1"/>
  <c r="Q16" i="1"/>
  <c r="Q49" i="1"/>
  <c r="Q149" i="1"/>
  <c r="Q6" i="1"/>
  <c r="O39" i="1"/>
  <c r="K23" i="1"/>
  <c r="K25" i="1"/>
  <c r="S4" i="1"/>
  <c r="Q15" i="1"/>
  <c r="M146" i="1"/>
  <c r="D4" i="2"/>
  <c r="M132" i="1"/>
  <c r="Q19" i="1"/>
  <c r="Q23" i="1"/>
  <c r="Q25" i="1"/>
  <c r="Q20" i="1"/>
  <c r="S6" i="1"/>
  <c r="S39" i="1"/>
  <c r="Q39" i="1"/>
  <c r="S40" i="1"/>
  <c r="S22" i="1"/>
  <c r="S16" i="1"/>
  <c r="S49" i="1"/>
  <c r="C4" i="2"/>
  <c r="S15" i="1"/>
  <c r="K132" i="1"/>
  <c r="O146" i="1"/>
  <c r="O132" i="1"/>
  <c r="Q146" i="1"/>
  <c r="Q132" i="1"/>
  <c r="S19" i="1"/>
  <c r="S20" i="1"/>
  <c r="F4" i="2"/>
  <c r="B5" i="2"/>
  <c r="S157" i="1"/>
  <c r="S149" i="1"/>
  <c r="S155" i="1"/>
  <c r="S147" i="1"/>
  <c r="S154" i="1"/>
  <c r="S146" i="1"/>
  <c r="D5" i="2"/>
  <c r="S23" i="1"/>
  <c r="S25" i="1"/>
  <c r="S132" i="1"/>
  <c r="C5" i="2"/>
  <c r="F5" i="2"/>
  <c r="B6" i="2"/>
  <c r="D6" i="2"/>
  <c r="C6" i="2"/>
  <c r="F6" i="2"/>
  <c r="B7" i="2"/>
  <c r="D7" i="2"/>
  <c r="C7" i="2"/>
  <c r="F7" i="2"/>
  <c r="B8" i="2"/>
  <c r="D8" i="2"/>
  <c r="C8" i="2"/>
  <c r="F8" i="2"/>
  <c r="B9" i="2"/>
  <c r="F9" i="2"/>
  <c r="B10" i="2"/>
  <c r="D9" i="2"/>
  <c r="C9" i="2"/>
  <c r="F10" i="2"/>
  <c r="B11" i="2"/>
  <c r="D10" i="2"/>
  <c r="C10" i="2"/>
  <c r="F11" i="2"/>
  <c r="B12" i="2"/>
  <c r="D11" i="2"/>
  <c r="C11" i="2"/>
  <c r="D12" i="2"/>
  <c r="C12" i="2"/>
  <c r="F12" i="2"/>
  <c r="B13" i="2"/>
  <c r="D13" i="2"/>
  <c r="C13" i="2"/>
  <c r="D14" i="2"/>
  <c r="E28" i="1"/>
  <c r="E31" i="1"/>
  <c r="E32" i="1"/>
  <c r="E48" i="1"/>
  <c r="C14" i="2"/>
  <c r="F13" i="2"/>
  <c r="B16" i="2"/>
  <c r="E51" i="1"/>
  <c r="D16" i="2"/>
  <c r="C16" i="2"/>
  <c r="F16" i="2"/>
  <c r="B17" i="2"/>
  <c r="D17" i="2"/>
  <c r="C17" i="2"/>
  <c r="F17" i="2"/>
  <c r="B18" i="2"/>
  <c r="D18" i="2"/>
  <c r="C18" i="2"/>
  <c r="F18" i="2"/>
  <c r="B19" i="2"/>
  <c r="D19" i="2"/>
  <c r="C19" i="2"/>
  <c r="F19" i="2"/>
  <c r="B20" i="2"/>
  <c r="D20" i="2"/>
  <c r="C20" i="2"/>
  <c r="F20" i="2"/>
  <c r="B21" i="2"/>
  <c r="D21" i="2"/>
  <c r="C21" i="2"/>
  <c r="F21" i="2"/>
  <c r="B22" i="2"/>
  <c r="D22" i="2"/>
  <c r="C22" i="2"/>
  <c r="F22" i="2"/>
  <c r="B23" i="2"/>
  <c r="D23" i="2"/>
  <c r="C23" i="2"/>
  <c r="F23" i="2"/>
  <c r="B24" i="2"/>
  <c r="D24" i="2"/>
  <c r="C24" i="2"/>
  <c r="F24" i="2"/>
  <c r="B25" i="2"/>
  <c r="D25" i="2"/>
  <c r="C25" i="2"/>
  <c r="F25" i="2"/>
  <c r="B26" i="2"/>
  <c r="D26" i="2"/>
  <c r="C26" i="2"/>
  <c r="F26" i="2"/>
  <c r="B27" i="2"/>
  <c r="D27" i="2"/>
  <c r="C27" i="2"/>
  <c r="D28" i="2"/>
  <c r="G28" i="1"/>
  <c r="C28" i="2"/>
  <c r="F27" i="2"/>
  <c r="G51" i="1"/>
  <c r="B30" i="2"/>
  <c r="D30" i="2"/>
  <c r="C30" i="2"/>
  <c r="F30" i="2"/>
  <c r="B31" i="2"/>
  <c r="D31" i="2"/>
  <c r="C31" i="2"/>
  <c r="F31" i="2"/>
  <c r="B32" i="2"/>
  <c r="D32" i="2"/>
  <c r="C32" i="2"/>
  <c r="F32" i="2"/>
  <c r="B33" i="2"/>
  <c r="D33" i="2"/>
  <c r="C33" i="2"/>
  <c r="F33" i="2"/>
  <c r="B34" i="2"/>
  <c r="D34" i="2"/>
  <c r="C34" i="2"/>
  <c r="F34" i="2"/>
  <c r="B35" i="2"/>
  <c r="D35" i="2"/>
  <c r="C35" i="2"/>
  <c r="F35" i="2"/>
  <c r="B36" i="2"/>
  <c r="D36" i="2"/>
  <c r="C36" i="2"/>
  <c r="F36" i="2"/>
  <c r="B37" i="2"/>
  <c r="D37" i="2"/>
  <c r="C37" i="2"/>
  <c r="F37" i="2"/>
  <c r="B38" i="2"/>
  <c r="D38" i="2"/>
  <c r="C38" i="2"/>
  <c r="F38" i="2"/>
  <c r="B39" i="2"/>
  <c r="D39" i="2"/>
  <c r="C39" i="2"/>
  <c r="F39" i="2"/>
  <c r="B40" i="2"/>
  <c r="D40" i="2"/>
  <c r="C40" i="2"/>
  <c r="F40" i="2"/>
  <c r="B41" i="2"/>
  <c r="D41" i="2"/>
  <c r="C41" i="2"/>
  <c r="D42" i="2"/>
  <c r="I28" i="1"/>
  <c r="I31" i="1"/>
  <c r="C42" i="2"/>
  <c r="F41" i="2"/>
  <c r="I51" i="1"/>
  <c r="B44" i="2"/>
  <c r="D44" i="2"/>
  <c r="C44" i="2"/>
  <c r="F44" i="2"/>
  <c r="B45" i="2"/>
  <c r="D45" i="2"/>
  <c r="C45" i="2"/>
  <c r="F45" i="2"/>
  <c r="B46" i="2"/>
  <c r="D46" i="2"/>
  <c r="C46" i="2"/>
  <c r="F46" i="2"/>
  <c r="B47" i="2"/>
  <c r="D47" i="2"/>
  <c r="C47" i="2"/>
  <c r="F47" i="2"/>
  <c r="B48" i="2"/>
  <c r="D48" i="2"/>
  <c r="C48" i="2"/>
  <c r="F48" i="2"/>
  <c r="B49" i="2"/>
  <c r="D49" i="2"/>
  <c r="C49" i="2"/>
  <c r="F49" i="2"/>
  <c r="B50" i="2"/>
  <c r="D50" i="2"/>
  <c r="C50" i="2"/>
  <c r="F50" i="2"/>
  <c r="B51" i="2"/>
  <c r="D51" i="2"/>
  <c r="C51" i="2"/>
  <c r="F51" i="2"/>
  <c r="B52" i="2"/>
  <c r="D52" i="2"/>
  <c r="C52" i="2"/>
  <c r="F52" i="2"/>
  <c r="B53" i="2"/>
  <c r="D53" i="2"/>
  <c r="C53" i="2"/>
  <c r="F53" i="2"/>
  <c r="B54" i="2"/>
  <c r="D54" i="2"/>
  <c r="C54" i="2"/>
  <c r="F54" i="2"/>
  <c r="B55" i="2"/>
  <c r="D55" i="2"/>
  <c r="C55" i="2"/>
  <c r="D56" i="2"/>
  <c r="K28" i="1"/>
  <c r="K31" i="1"/>
  <c r="K48" i="1"/>
  <c r="K63" i="1"/>
  <c r="C56" i="2"/>
  <c r="F55" i="2"/>
  <c r="B58" i="2"/>
  <c r="K51" i="1"/>
  <c r="D58" i="2"/>
  <c r="C58" i="2"/>
  <c r="F58" i="2"/>
  <c r="B59" i="2"/>
  <c r="D59" i="2"/>
  <c r="C59" i="2"/>
  <c r="F59" i="2"/>
  <c r="B60" i="2"/>
  <c r="D60" i="2"/>
  <c r="C60" i="2"/>
  <c r="F60" i="2"/>
  <c r="B61" i="2"/>
  <c r="D61" i="2"/>
  <c r="C61" i="2"/>
  <c r="F61" i="2"/>
  <c r="B62" i="2"/>
  <c r="D62" i="2"/>
  <c r="C62" i="2"/>
  <c r="F62" i="2"/>
  <c r="B63" i="2"/>
  <c r="D63" i="2"/>
  <c r="C63" i="2"/>
  <c r="F63" i="2"/>
  <c r="B64" i="2"/>
  <c r="D64" i="2"/>
  <c r="C64" i="2"/>
  <c r="F64" i="2"/>
  <c r="B65" i="2"/>
  <c r="D65" i="2"/>
  <c r="C65" i="2"/>
  <c r="F65" i="2"/>
  <c r="B66" i="2"/>
  <c r="D66" i="2"/>
  <c r="C66" i="2"/>
  <c r="F66" i="2"/>
  <c r="B67" i="2"/>
  <c r="F67" i="2"/>
  <c r="B68" i="2"/>
  <c r="D67" i="2"/>
  <c r="C67" i="2"/>
  <c r="F68" i="2"/>
  <c r="B69" i="2"/>
  <c r="D68" i="2"/>
  <c r="C68" i="2"/>
  <c r="D69" i="2"/>
  <c r="C69" i="2"/>
  <c r="D70" i="2"/>
  <c r="M28" i="1"/>
  <c r="C70" i="2"/>
  <c r="F69" i="2"/>
  <c r="M51" i="1"/>
  <c r="B72" i="2"/>
  <c r="D72" i="2"/>
  <c r="C72" i="2"/>
  <c r="F72" i="2"/>
  <c r="B73" i="2"/>
  <c r="D73" i="2"/>
  <c r="C73" i="2"/>
  <c r="F73" i="2"/>
  <c r="B74" i="2"/>
  <c r="D74" i="2"/>
  <c r="C74" i="2"/>
  <c r="F74" i="2"/>
  <c r="B75" i="2"/>
  <c r="D75" i="2"/>
  <c r="C75" i="2"/>
  <c r="F75" i="2"/>
  <c r="B76" i="2"/>
  <c r="D76" i="2"/>
  <c r="C76" i="2"/>
  <c r="F76" i="2"/>
  <c r="B77" i="2"/>
  <c r="D77" i="2"/>
  <c r="C77" i="2"/>
  <c r="F77" i="2"/>
  <c r="B78" i="2"/>
  <c r="D78" i="2"/>
  <c r="C78" i="2"/>
  <c r="F78" i="2"/>
  <c r="B79" i="2"/>
  <c r="F79" i="2"/>
  <c r="B80" i="2"/>
  <c r="D79" i="2"/>
  <c r="C79" i="2"/>
  <c r="F80" i="2"/>
  <c r="B81" i="2"/>
  <c r="D80" i="2"/>
  <c r="C80" i="2"/>
  <c r="F81" i="2"/>
  <c r="B82" i="2"/>
  <c r="D81" i="2"/>
  <c r="C81" i="2"/>
  <c r="F82" i="2"/>
  <c r="B83" i="2"/>
  <c r="D82" i="2"/>
  <c r="C82" i="2"/>
  <c r="D83" i="2"/>
  <c r="C83" i="2"/>
  <c r="D84" i="2"/>
  <c r="O28" i="1"/>
  <c r="O31" i="1"/>
  <c r="O32" i="1"/>
  <c r="C84" i="2"/>
  <c r="F83" i="2"/>
  <c r="B86" i="2"/>
  <c r="O51" i="1"/>
  <c r="D86" i="2"/>
  <c r="C86" i="2"/>
  <c r="F86" i="2"/>
  <c r="B87" i="2"/>
  <c r="D87" i="2"/>
  <c r="C87" i="2"/>
  <c r="F87" i="2"/>
  <c r="B88" i="2"/>
  <c r="D88" i="2"/>
  <c r="C88" i="2"/>
  <c r="F88" i="2"/>
  <c r="B89" i="2"/>
  <c r="D89" i="2"/>
  <c r="C89" i="2"/>
  <c r="F89" i="2"/>
  <c r="B90" i="2"/>
  <c r="D90" i="2"/>
  <c r="C90" i="2"/>
  <c r="F90" i="2"/>
  <c r="B91" i="2"/>
  <c r="F91" i="2"/>
  <c r="B92" i="2"/>
  <c r="D91" i="2"/>
  <c r="C91" i="2"/>
  <c r="F92" i="2"/>
  <c r="B93" i="2"/>
  <c r="D92" i="2"/>
  <c r="C92" i="2"/>
  <c r="F93" i="2"/>
  <c r="B94" i="2"/>
  <c r="D93" i="2"/>
  <c r="C93" i="2"/>
  <c r="F94" i="2"/>
  <c r="B95" i="2"/>
  <c r="D94" i="2"/>
  <c r="C94" i="2"/>
  <c r="F95" i="2"/>
  <c r="B96" i="2"/>
  <c r="D95" i="2"/>
  <c r="C95" i="2"/>
  <c r="F96" i="2"/>
  <c r="B97" i="2"/>
  <c r="D96" i="2"/>
  <c r="C96" i="2"/>
  <c r="D97" i="2"/>
  <c r="C97" i="2"/>
  <c r="D98" i="2"/>
  <c r="Q28" i="1"/>
  <c r="C98" i="2"/>
  <c r="F97" i="2"/>
  <c r="Q51" i="1"/>
  <c r="B100" i="2"/>
  <c r="D100" i="2"/>
  <c r="C100" i="2"/>
  <c r="F100" i="2"/>
  <c r="B101" i="2"/>
  <c r="D101" i="2"/>
  <c r="C101" i="2"/>
  <c r="F101" i="2"/>
  <c r="B102" i="2"/>
  <c r="D102" i="2"/>
  <c r="C102" i="2"/>
  <c r="F102" i="2"/>
  <c r="B103" i="2"/>
  <c r="D103" i="2"/>
  <c r="C103" i="2"/>
  <c r="F103" i="2"/>
  <c r="B104" i="2"/>
  <c r="D104" i="2"/>
  <c r="C104" i="2"/>
  <c r="F104" i="2"/>
  <c r="B105" i="2"/>
  <c r="D105" i="2"/>
  <c r="C105" i="2"/>
  <c r="F105" i="2"/>
  <c r="B106" i="2"/>
  <c r="F106" i="2"/>
  <c r="B107" i="2"/>
  <c r="D106" i="2"/>
  <c r="C106" i="2"/>
  <c r="F107" i="2"/>
  <c r="B108" i="2"/>
  <c r="D107" i="2"/>
  <c r="C107" i="2"/>
  <c r="F108" i="2"/>
  <c r="B109" i="2"/>
  <c r="D108" i="2"/>
  <c r="C108" i="2"/>
  <c r="F109" i="2"/>
  <c r="B110" i="2"/>
  <c r="D109" i="2"/>
  <c r="C109" i="2"/>
  <c r="F110" i="2"/>
  <c r="B111" i="2"/>
  <c r="D110" i="2"/>
  <c r="C110" i="2"/>
  <c r="D111" i="2"/>
  <c r="C111" i="2"/>
  <c r="D112" i="2"/>
  <c r="S28" i="1"/>
  <c r="C112" i="2"/>
  <c r="F111" i="2"/>
  <c r="S51" i="1"/>
  <c r="C81" i="1"/>
  <c r="C83" i="1"/>
  <c r="F81" i="1"/>
  <c r="C90" i="1"/>
  <c r="F82" i="1"/>
  <c r="C85" i="1"/>
  <c r="H90" i="1"/>
  <c r="E33" i="1"/>
  <c r="O134" i="1"/>
  <c r="O135" i="1"/>
  <c r="O137" i="1"/>
  <c r="O136" i="1"/>
  <c r="M136" i="1"/>
  <c r="M137" i="1"/>
  <c r="M134" i="1"/>
  <c r="M135" i="1"/>
  <c r="E43" i="1"/>
  <c r="S31" i="1"/>
  <c r="S32" i="1"/>
  <c r="M31" i="1"/>
  <c r="M48" i="1"/>
  <c r="M63" i="1"/>
  <c r="Q31" i="1"/>
  <c r="Q32" i="1"/>
  <c r="G31" i="1"/>
  <c r="V141" i="1"/>
  <c r="Q48" i="1"/>
  <c r="E136" i="1"/>
  <c r="E134" i="1"/>
  <c r="K136" i="1"/>
  <c r="K134" i="1"/>
  <c r="S136" i="1"/>
  <c r="S134" i="1"/>
  <c r="S48" i="1"/>
  <c r="O48" i="1"/>
  <c r="I48" i="1"/>
  <c r="G134" i="1"/>
  <c r="G136" i="1"/>
  <c r="I134" i="1"/>
  <c r="I136" i="1"/>
  <c r="Q136" i="1"/>
  <c r="Q134" i="1"/>
  <c r="G48" i="1"/>
  <c r="G32" i="1"/>
  <c r="G33" i="1"/>
  <c r="G43" i="1"/>
  <c r="E45" i="1"/>
  <c r="O150" i="1"/>
  <c r="O160" i="1"/>
  <c r="I135" i="1"/>
  <c r="I137" i="1"/>
  <c r="G135" i="1"/>
  <c r="G137" i="1"/>
  <c r="E63" i="1"/>
  <c r="I63" i="1"/>
  <c r="O63" i="1"/>
  <c r="Q63" i="1"/>
  <c r="Q135" i="1"/>
  <c r="Q150" i="1"/>
  <c r="E55" i="1"/>
  <c r="E64" i="1"/>
  <c r="E65" i="1"/>
  <c r="E66" i="1"/>
  <c r="S63" i="1"/>
  <c r="S135" i="1"/>
  <c r="S137" i="1"/>
  <c r="K135" i="1"/>
  <c r="K137" i="1"/>
  <c r="E135" i="1"/>
  <c r="E150" i="1"/>
  <c r="G63" i="1"/>
  <c r="G45" i="1"/>
  <c r="G65" i="1"/>
  <c r="I43" i="1"/>
  <c r="E137" i="1"/>
  <c r="E160" i="1"/>
  <c r="Q137" i="1"/>
  <c r="Q160" i="1"/>
  <c r="M55" i="1"/>
  <c r="K150" i="1"/>
  <c r="M150" i="1"/>
  <c r="M160" i="1"/>
  <c r="S158" i="1"/>
  <c r="S150" i="1"/>
  <c r="G150" i="1"/>
  <c r="I150" i="1"/>
  <c r="I160" i="1"/>
  <c r="K160" i="1"/>
  <c r="G55" i="1"/>
  <c r="E57" i="1"/>
  <c r="E59" i="1"/>
  <c r="G160" i="1"/>
  <c r="K43" i="1"/>
  <c r="I45" i="1"/>
  <c r="I65" i="1"/>
  <c r="S160" i="1"/>
  <c r="C166" i="1"/>
  <c r="M64" i="1"/>
  <c r="M66" i="1"/>
  <c r="M57" i="1"/>
  <c r="O55" i="1"/>
  <c r="G64" i="1"/>
  <c r="G57" i="1"/>
  <c r="G59" i="1"/>
  <c r="G66" i="1"/>
  <c r="I55" i="1"/>
  <c r="K45" i="1"/>
  <c r="K65" i="1"/>
  <c r="M43" i="1"/>
  <c r="O64" i="1"/>
  <c r="O66" i="1"/>
  <c r="Q55" i="1"/>
  <c r="O57" i="1"/>
  <c r="I64" i="1"/>
  <c r="K55" i="1"/>
  <c r="I57" i="1"/>
  <c r="I59" i="1"/>
  <c r="I66" i="1"/>
  <c r="M45" i="1"/>
  <c r="O43" i="1"/>
  <c r="Q64" i="1"/>
  <c r="Q57" i="1"/>
  <c r="Q66" i="1"/>
  <c r="S55" i="1"/>
  <c r="K64" i="1"/>
  <c r="K57" i="1"/>
  <c r="K59" i="1"/>
  <c r="K66" i="1"/>
  <c r="M65" i="1"/>
  <c r="M59" i="1"/>
  <c r="O45" i="1"/>
  <c r="Q43" i="1"/>
  <c r="C91" i="1"/>
  <c r="S57" i="1"/>
  <c r="S64" i="1"/>
  <c r="S66" i="1"/>
  <c r="S43" i="1"/>
  <c r="S45" i="1"/>
  <c r="S65" i="1"/>
  <c r="Q45" i="1"/>
  <c r="O65" i="1"/>
  <c r="O59" i="1"/>
  <c r="C92" i="1"/>
  <c r="F90" i="1"/>
  <c r="C95" i="1"/>
  <c r="F91" i="1"/>
  <c r="C96" i="1"/>
  <c r="C105" i="1"/>
  <c r="Q65" i="1"/>
  <c r="Q59" i="1"/>
  <c r="S59" i="1"/>
  <c r="C104" i="1"/>
  <c r="C107" i="1"/>
  <c r="C112" i="1"/>
  <c r="C98" i="1"/>
  <c r="C122" i="1"/>
  <c r="C120" i="1"/>
  <c r="C126" i="1"/>
  <c r="C163" i="1"/>
  <c r="G162" i="1"/>
  <c r="M162" i="1"/>
  <c r="N162" i="1"/>
  <c r="C162" i="1"/>
  <c r="O162" i="1"/>
  <c r="Q162" i="1"/>
  <c r="E162" i="1"/>
  <c r="P162" i="1"/>
  <c r="J162" i="1"/>
  <c r="S162" i="1"/>
  <c r="R162" i="1"/>
  <c r="K162" i="1"/>
  <c r="I162" i="1"/>
  <c r="C165" i="1"/>
</calcChain>
</file>

<file path=xl/sharedStrings.xml><?xml version="1.0" encoding="utf-8"?>
<sst xmlns="http://schemas.openxmlformats.org/spreadsheetml/2006/main" count="226" uniqueCount="191">
  <si>
    <t>SALES UNIT FORECASTS</t>
  </si>
  <si>
    <t>Forecasted occupancy</t>
  </si>
  <si>
    <t>Annual change</t>
  </si>
  <si>
    <t>RATIOS USED IN FORECAST</t>
  </si>
  <si>
    <t>As per schedule</t>
  </si>
  <si>
    <t>INCOME STATEMENT</t>
  </si>
  <si>
    <t>Revenues</t>
  </si>
  <si>
    <t>Rent</t>
  </si>
  <si>
    <t>Operating Expenses</t>
  </si>
  <si>
    <t>General and Administrative</t>
  </si>
  <si>
    <t>Apartment Maintenance Service</t>
  </si>
  <si>
    <t>Marketing</t>
  </si>
  <si>
    <t>Utilities</t>
  </si>
  <si>
    <t>Total Operating Expenses</t>
  </si>
  <si>
    <t>Operating Profit</t>
  </si>
  <si>
    <t>Depreciation</t>
  </si>
  <si>
    <t>Years straight line</t>
  </si>
  <si>
    <t>Mortgage Interest Expense</t>
  </si>
  <si>
    <t>Bank Loan Interest Expense</t>
  </si>
  <si>
    <t>Interest rate</t>
  </si>
  <si>
    <t>Profit Before Taxes</t>
  </si>
  <si>
    <t>Taxes</t>
  </si>
  <si>
    <t>Tax rate (zero if negative income)</t>
  </si>
  <si>
    <t>Net Profit After Taxes</t>
  </si>
  <si>
    <t>BALANCE SHEET</t>
  </si>
  <si>
    <t>Assets</t>
  </si>
  <si>
    <t>Cash</t>
  </si>
  <si>
    <t>Buildings</t>
  </si>
  <si>
    <t>Less:  Accumulated Depreciation</t>
  </si>
  <si>
    <t>Total Assets</t>
  </si>
  <si>
    <t>Liabilities and Equity</t>
  </si>
  <si>
    <t>Income Tax Payable</t>
  </si>
  <si>
    <t>Mortgage on Buildings</t>
  </si>
  <si>
    <t>Bank Loans</t>
  </si>
  <si>
    <t>Shareholder Contributions</t>
  </si>
  <si>
    <t>Retained Earnings</t>
  </si>
  <si>
    <t>Total Liabilities and Equity</t>
  </si>
  <si>
    <t>RATIOS</t>
  </si>
  <si>
    <t>Quick Ratio</t>
  </si>
  <si>
    <t>Debt/Equity Ratio</t>
  </si>
  <si>
    <t>ROA</t>
  </si>
  <si>
    <t>ROE</t>
  </si>
  <si>
    <t>Beg Balance</t>
  </si>
  <si>
    <t>Principal</t>
  </si>
  <si>
    <t xml:space="preserve">Interest </t>
  </si>
  <si>
    <t>Payment</t>
  </si>
  <si>
    <t>End Balance</t>
  </si>
  <si>
    <t>January 2012</t>
  </si>
  <si>
    <t>February 2012</t>
  </si>
  <si>
    <t>March 2012</t>
  </si>
  <si>
    <t>April 2012</t>
  </si>
  <si>
    <t>May 2012</t>
  </si>
  <si>
    <t>June 2012</t>
  </si>
  <si>
    <t>July 2012</t>
  </si>
  <si>
    <t>August 2012</t>
  </si>
  <si>
    <t>September 2012</t>
  </si>
  <si>
    <t>October 2012</t>
  </si>
  <si>
    <t>November 2012</t>
  </si>
  <si>
    <t>December 2012</t>
  </si>
  <si>
    <t>TOTALS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</si>
  <si>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</si>
  <si>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</si>
  <si>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</si>
  <si>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</si>
  <si>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</si>
  <si>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</si>
  <si>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</si>
  <si>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</si>
  <si>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</si>
  <si>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</si>
  <si>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</si>
  <si>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</si>
  <si>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</si>
  <si>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</si>
  <si>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</si>
  <si>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</si>
  <si>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</si>
  <si>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</si>
  <si>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</si>
  <si>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</si>
  <si>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</si>
  <si>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</si>
  <si>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</si>
  <si>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</si>
  <si>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</si>
  <si>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</si>
  <si>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</si>
  <si>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</si>
  <si>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</si>
  <si>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</si>
  <si>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</si>
  <si>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</si>
  <si>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</si>
  <si>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</si>
  <si>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</si>
  <si>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</si>
  <si>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Average Rent receivables</t>
  </si>
  <si>
    <t>Percent of Rent Revenue</t>
  </si>
  <si>
    <t>Estimate</t>
  </si>
  <si>
    <t>Minimum Amount</t>
  </si>
  <si>
    <t>Number of Units in complex</t>
  </si>
  <si>
    <t>Annual Change</t>
  </si>
  <si>
    <t>Interest Rate</t>
  </si>
  <si>
    <t>Manager Room at half price</t>
  </si>
  <si>
    <t>Utility Reimbursement</t>
  </si>
  <si>
    <t>Utility Rate per Room</t>
  </si>
  <si>
    <t>Percent of Rent Revenue Plus half rent</t>
  </si>
  <si>
    <t>PMT</t>
  </si>
  <si>
    <t>Years</t>
  </si>
  <si>
    <t>Utilities Payable</t>
  </si>
  <si>
    <t>Rent Receivable</t>
  </si>
  <si>
    <t>Net 30</t>
  </si>
  <si>
    <t>Utilities Receivable</t>
  </si>
  <si>
    <t>WACC AS IS</t>
  </si>
  <si>
    <t>CAPM to determine the return (cost) for equity holders</t>
  </si>
  <si>
    <t>Projected return of T-Bills</t>
  </si>
  <si>
    <t xml:space="preserve">Projected return of S&amp;P 500 </t>
  </si>
  <si>
    <t>Risk Premium (Spread) of S&amp;P 500</t>
  </si>
  <si>
    <t>(EMRP)</t>
  </si>
  <si>
    <t>Current Equity Holders Return (Cost)</t>
  </si>
  <si>
    <t>Blended Cost of Debt - to determine the return (cost) for debt holders</t>
  </si>
  <si>
    <t>Proportion</t>
  </si>
  <si>
    <t>Cost/Int Rate</t>
  </si>
  <si>
    <t>Current Cost of Debt</t>
  </si>
  <si>
    <t>Tax Rate of the Company</t>
  </si>
  <si>
    <t>Proportions of Debt and Equity</t>
  </si>
  <si>
    <t>Debt</t>
  </si>
  <si>
    <t>Equity</t>
  </si>
  <si>
    <t>Current Beta (Equity Beta)</t>
  </si>
  <si>
    <t>Proprtion of Debt</t>
  </si>
  <si>
    <t>Proportion of Equity</t>
  </si>
  <si>
    <t>WACC</t>
  </si>
  <si>
    <t>NEW WACC</t>
  </si>
  <si>
    <t>Unlever and Relever the Beta</t>
  </si>
  <si>
    <t>Old (Equity) Beta</t>
  </si>
  <si>
    <t>Current Debt Proportion</t>
  </si>
  <si>
    <t>Current Equity Proportion</t>
  </si>
  <si>
    <t>Unlevered Beta (zero debt)</t>
  </si>
  <si>
    <t>New Debt Proportion</t>
  </si>
  <si>
    <t>New Equity Proportion</t>
  </si>
  <si>
    <t>Proportion of Debt</t>
  </si>
  <si>
    <t>New Beta Equity Holders Cost</t>
  </si>
  <si>
    <t>New Beta (64/36 Co)</t>
  </si>
  <si>
    <t>Relevered Beta (64/36)</t>
  </si>
  <si>
    <t xml:space="preserve">We chose mid-america apartments. This complex was comparable to Rasberry Gardens. The beta was 1.039 and they have a 1.783 debt to equity ratio. </t>
  </si>
  <si>
    <t>S&amp;P 500 25 average year return</t>
  </si>
  <si>
    <t>Year</t>
  </si>
  <si>
    <t>S&amp;P 500 return</t>
  </si>
  <si>
    <t>Nominal Return</t>
  </si>
  <si>
    <t xml:space="preserve">The S &amp; P 500, used the average. </t>
  </si>
  <si>
    <t>The project T-bills came from the REIT for real estate companies.</t>
  </si>
  <si>
    <t>FCFs, NPV, IRR</t>
  </si>
  <si>
    <t>Cash from Operations</t>
  </si>
  <si>
    <t>Less: Depreciation</t>
  </si>
  <si>
    <t>Taxable Operating Income</t>
  </si>
  <si>
    <t>Income Tax on Operations</t>
  </si>
  <si>
    <t>Add back: Depreciation</t>
  </si>
  <si>
    <t>Cash From Operations</t>
  </si>
  <si>
    <t>Capital Expenditures</t>
  </si>
  <si>
    <t>Changes in Working Capital</t>
  </si>
  <si>
    <t>-</t>
  </si>
  <si>
    <t>Mimimum Cash Balance</t>
  </si>
  <si>
    <t>+</t>
  </si>
  <si>
    <t>Liquidation of Working Capital</t>
  </si>
  <si>
    <t>TOTAL FREE CASH FLOWS</t>
  </si>
  <si>
    <t>PV OF FREE CASH</t>
  </si>
  <si>
    <t>RATE</t>
  </si>
  <si>
    <t>NPV</t>
  </si>
  <si>
    <t>IRR</t>
  </si>
  <si>
    <t>Buy Building</t>
  </si>
  <si>
    <t>Accounts Receivable: Rent</t>
  </si>
  <si>
    <t>Accounts Receivable: Utilities</t>
  </si>
  <si>
    <t>Accounts Payable: Utilities</t>
  </si>
  <si>
    <t>Sell Building</t>
  </si>
  <si>
    <t>Tax on Sale of Building</t>
  </si>
  <si>
    <t>Book value</t>
  </si>
  <si>
    <t>Sold at book value</t>
  </si>
  <si>
    <t>Raspberry Garden</t>
  </si>
  <si>
    <t>Raspberry Garden Apartments</t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</si>
  <si>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</rPr>
      <t>Each year with the increasing number of students at BYU-I the demand will increase with student housing which means that rent rates will also increase.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</si>
  <si>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</rPr>
      <t>Rent receivables will remain at 5% for all four years and will be on a net 30 basis.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</si>
  <si>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</rPr>
      <t>We assume that General and Administrative expenses will remain at 8% of rent revenues for all four years plus 50% of rent for one room that the manager will live in.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</si>
  <si>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</rPr>
      <t>We assume that the Apartment Maintenance Expense will remain at 9.5% or Rent Revenue for all four years.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</si>
  <si>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</rPr>
      <t>We assume that marketing will remain at $900 per year for all four years. We assume that each unit’s utility expense is $75 a month per unit and that the utility rate will go up 2% every year.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</si>
  <si>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</rPr>
      <t>Utility Expense Payable will be on a net 30 basis as well meaning that at any given time a month of utilities will be payable.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</si>
  <si>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</rPr>
      <t>The minimum amount of cash that the company will have at any given time is $5,000.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</si>
  <si>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</rPr>
      <t>We assume the mortgage interest rate is at 7.5%.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</si>
  <si>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</rPr>
      <t>To help pay the initial cost shareholder contributions will total $50,000.</t>
    </r>
  </si>
  <si>
    <t xml:space="preserve">We chose Mid-America apartments. This complex was comparable to Raspberry Gardens. The beta was 1.039 and they have a 1.783 debt to equity ratio. </t>
  </si>
  <si>
    <t>Monthly rent per room</t>
  </si>
  <si>
    <r>
      <t>·</t>
    </r>
    <r>
      <rPr>
        <sz val="7"/>
        <rFont val="Times New Roman"/>
        <family val="1"/>
      </rPr>
      <t xml:space="preserve">        </t>
    </r>
    <r>
      <rPr>
        <sz val="11"/>
        <rFont val="Calibri"/>
        <family val="2"/>
      </rPr>
      <t>Since the demand is so high we assume that each room will be nearly filled to capacity.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</si>
</sst>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\$* #,##0.00_);_(\$* \(#,##0.00\);_(\$* \-??_);_(@_)"/>
    <numFmt numFmtId="165" formatCode="0.0"/>
    <numFmt numFmtId="166" formatCode="_(\$* #,##0_);_(\$* \(#,##0\);_(\$* \-??_);_(@_)"/>
    <numFmt numFmtId="167" formatCode="[$$-409]#,##0.00;[Red]\-[$$-409]#,##0.00"/>
    <numFmt numFmtId="168" formatCode="0.0%"/>
    <numFmt numFmtId="169" formatCode="_(* #,##0_);_(* \(#,##0\);_(* &quot;-&quot;??_);_(@_)"/>
  </numFmts>
  <fonts count="9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b/>
      <u/>
      <sz val="20"/>
      <name val="Calibri"/>
      <family val="2"/>
    </font>
    <font>
      <sz val="11"/>
      <name val="Symbol"/>
      <family val="1"/>
      <charset val="2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0" fontId="1" fillId="0" borderId="0"/>
    <xf numFmtId="9" fontId="1" fillId="0" borderId="0"/>
  </cellStyleXfs>
  <cellXfs count="87">
    <xf numFmtId="0" fontId="0" fillId="0" borderId="0" xfId="0"/>
    <xf numFmtId="0" fontId="1" fillId="0" borderId="0" xfId="2"/>
    <xf numFmtId="0" fontId="2" fillId="0" borderId="1" xfId="2" applyFont="1" applyBorder="1"/>
    <xf numFmtId="0" fontId="1" fillId="0" borderId="1" xfId="2" applyBorder="1"/>
    <xf numFmtId="0" fontId="2" fillId="0" borderId="0" xfId="2" applyFont="1"/>
    <xf numFmtId="10" fontId="1" fillId="0" borderId="0" xfId="3" applyNumberFormat="1"/>
    <xf numFmtId="1" fontId="1" fillId="0" borderId="0" xfId="2" applyNumberFormat="1"/>
    <xf numFmtId="164" fontId="1" fillId="0" borderId="0" xfId="1" applyFont="1" applyFill="1" applyBorder="1" applyAlignment="1" applyProtection="1"/>
    <xf numFmtId="0" fontId="1" fillId="0" borderId="0" xfId="2" applyFont="1"/>
    <xf numFmtId="166" fontId="1" fillId="0" borderId="0" xfId="1" applyNumberFormat="1" applyFont="1" applyFill="1" applyBorder="1" applyAlignment="1" applyProtection="1"/>
    <xf numFmtId="166" fontId="1" fillId="0" borderId="0" xfId="1" applyNumberFormat="1"/>
    <xf numFmtId="166" fontId="1" fillId="0" borderId="0" xfId="2" applyNumberFormat="1"/>
    <xf numFmtId="0" fontId="3" fillId="0" borderId="0" xfId="2" applyFont="1"/>
    <xf numFmtId="0" fontId="0" fillId="0" borderId="0" xfId="0" applyFont="1" applyAlignment="1">
      <alignment wrapText="1"/>
    </xf>
    <xf numFmtId="167" fontId="0" fillId="0" borderId="0" xfId="0" applyNumberFormat="1" applyFont="1" applyAlignment="1">
      <alignment wrapText="1"/>
    </xf>
    <xf numFmtId="167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1" fillId="0" borderId="2" xfId="2" applyBorder="1"/>
    <xf numFmtId="166" fontId="1" fillId="0" borderId="2" xfId="1" applyNumberFormat="1" applyFont="1" applyFill="1" applyBorder="1" applyAlignment="1" applyProtection="1"/>
    <xf numFmtId="167" fontId="0" fillId="2" borderId="0" xfId="0" applyNumberFormat="1" applyFont="1" applyFill="1" applyAlignment="1">
      <alignment wrapText="1"/>
    </xf>
    <xf numFmtId="9" fontId="1" fillId="0" borderId="0" xfId="3"/>
    <xf numFmtId="10" fontId="0" fillId="2" borderId="0" xfId="0" applyNumberFormat="1" applyFill="1"/>
    <xf numFmtId="8" fontId="0" fillId="2" borderId="0" xfId="0" applyNumberFormat="1" applyFill="1"/>
    <xf numFmtId="164" fontId="1" fillId="0" borderId="0" xfId="1" applyFill="1"/>
    <xf numFmtId="10" fontId="1" fillId="0" borderId="0" xfId="3" applyNumberFormat="1" applyFill="1"/>
    <xf numFmtId="0" fontId="0" fillId="2" borderId="0" xfId="0" applyFill="1"/>
    <xf numFmtId="0" fontId="1" fillId="0" borderId="0" xfId="2" applyFill="1"/>
    <xf numFmtId="0" fontId="3" fillId="0" borderId="0" xfId="2" applyFont="1" applyFill="1"/>
    <xf numFmtId="166" fontId="1" fillId="0" borderId="0" xfId="1" applyNumberFormat="1" applyFill="1"/>
    <xf numFmtId="17" fontId="0" fillId="0" borderId="0" xfId="0" applyNumberFormat="1" applyFont="1" applyAlignment="1">
      <alignment wrapText="1"/>
    </xf>
    <xf numFmtId="166" fontId="3" fillId="0" borderId="0" xfId="2" applyNumberFormat="1" applyFont="1" applyFill="1"/>
    <xf numFmtId="166" fontId="3" fillId="0" borderId="0" xfId="1" applyNumberFormat="1" applyFont="1" applyFill="1" applyBorder="1" applyAlignment="1" applyProtection="1"/>
    <xf numFmtId="166" fontId="1" fillId="0" borderId="0" xfId="3" applyNumberFormat="1"/>
    <xf numFmtId="168" fontId="1" fillId="0" borderId="0" xfId="3" applyNumberFormat="1"/>
    <xf numFmtId="166" fontId="1" fillId="0" borderId="2" xfId="3" applyNumberFormat="1" applyBorder="1"/>
    <xf numFmtId="166" fontId="1" fillId="0" borderId="2" xfId="2" applyNumberFormat="1" applyBorder="1"/>
    <xf numFmtId="0" fontId="1" fillId="0" borderId="3" xfId="2" applyBorder="1"/>
    <xf numFmtId="0" fontId="1" fillId="0" borderId="4" xfId="2" applyBorder="1"/>
    <xf numFmtId="168" fontId="1" fillId="0" borderId="5" xfId="2" applyNumberFormat="1" applyBorder="1"/>
    <xf numFmtId="0" fontId="1" fillId="0" borderId="6" xfId="2" applyBorder="1"/>
    <xf numFmtId="168" fontId="1" fillId="0" borderId="7" xfId="2" applyNumberFormat="1" applyBorder="1"/>
    <xf numFmtId="0" fontId="1" fillId="0" borderId="8" xfId="2" applyBorder="1"/>
    <xf numFmtId="2" fontId="1" fillId="0" borderId="0" xfId="2" applyNumberFormat="1"/>
    <xf numFmtId="2" fontId="1" fillId="0" borderId="9" xfId="2" applyNumberFormat="1" applyBorder="1"/>
    <xf numFmtId="168" fontId="1" fillId="0" borderId="5" xfId="3" applyNumberFormat="1" applyBorder="1"/>
    <xf numFmtId="168" fontId="1" fillId="0" borderId="7" xfId="3" applyNumberFormat="1" applyBorder="1"/>
    <xf numFmtId="10" fontId="1" fillId="0" borderId="10" xfId="3" applyNumberFormat="1" applyFill="1" applyBorder="1"/>
    <xf numFmtId="2" fontId="1" fillId="0" borderId="0" xfId="2" applyNumberFormat="1" applyFill="1"/>
    <xf numFmtId="168" fontId="1" fillId="0" borderId="0" xfId="3" applyNumberFormat="1" applyFill="1"/>
    <xf numFmtId="2" fontId="1" fillId="0" borderId="9" xfId="2" applyNumberFormat="1" applyFill="1" applyBorder="1"/>
    <xf numFmtId="0" fontId="0" fillId="0" borderId="0" xfId="0" applyAlignment="1">
      <alignment wrapText="1"/>
    </xf>
    <xf numFmtId="10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10" fontId="0" fillId="0" borderId="0" xfId="0" applyNumberFormat="1" applyAlignment="1">
      <alignment wrapText="1"/>
    </xf>
    <xf numFmtId="166" fontId="1" fillId="0" borderId="0" xfId="2" applyNumberFormat="1" applyBorder="1"/>
    <xf numFmtId="166" fontId="1" fillId="0" borderId="0" xfId="2" applyNumberFormat="1" applyFill="1"/>
    <xf numFmtId="9" fontId="1" fillId="0" borderId="0" xfId="3" applyFill="1"/>
    <xf numFmtId="0" fontId="1" fillId="0" borderId="0" xfId="2" quotePrefix="1"/>
    <xf numFmtId="6" fontId="1" fillId="0" borderId="0" xfId="2" applyNumberFormat="1"/>
    <xf numFmtId="0" fontId="1" fillId="0" borderId="11" xfId="2" applyBorder="1"/>
    <xf numFmtId="0" fontId="1" fillId="0" borderId="0" xfId="2" applyBorder="1"/>
    <xf numFmtId="166" fontId="1" fillId="0" borderId="0" xfId="3" applyNumberFormat="1" applyBorder="1"/>
    <xf numFmtId="2" fontId="1" fillId="0" borderId="0" xfId="2" applyNumberFormat="1" applyFill="1" applyBorder="1"/>
    <xf numFmtId="168" fontId="1" fillId="0" borderId="0" xfId="2" applyNumberFormat="1" applyBorder="1"/>
    <xf numFmtId="10" fontId="1" fillId="0" borderId="0" xfId="3" applyNumberFormat="1" applyFill="1" applyBorder="1"/>
    <xf numFmtId="2" fontId="1" fillId="0" borderId="0" xfId="2" applyNumberFormat="1" applyBorder="1"/>
    <xf numFmtId="168" fontId="1" fillId="0" borderId="0" xfId="3" applyNumberFormat="1" applyBorder="1"/>
    <xf numFmtId="6" fontId="1" fillId="0" borderId="0" xfId="2" applyNumberFormat="1" applyFill="1" applyBorder="1"/>
    <xf numFmtId="10" fontId="1" fillId="0" borderId="0" xfId="2" applyNumberFormat="1" applyFill="1" applyBorder="1"/>
    <xf numFmtId="43" fontId="1" fillId="0" borderId="0" xfId="2" applyNumberFormat="1"/>
    <xf numFmtId="1" fontId="1" fillId="0" borderId="0" xfId="2" applyNumberFormat="1" applyFill="1"/>
    <xf numFmtId="9" fontId="1" fillId="0" borderId="0" xfId="2" applyNumberFormat="1" applyFill="1"/>
    <xf numFmtId="0" fontId="1" fillId="0" borderId="1" xfId="2" applyFill="1" applyBorder="1"/>
    <xf numFmtId="165" fontId="1" fillId="0" borderId="0" xfId="2" applyNumberFormat="1" applyFill="1"/>
    <xf numFmtId="0" fontId="1" fillId="0" borderId="2" xfId="2" applyFill="1" applyBorder="1"/>
    <xf numFmtId="166" fontId="1" fillId="0" borderId="2" xfId="2" applyNumberFormat="1" applyFill="1" applyBorder="1"/>
    <xf numFmtId="169" fontId="1" fillId="0" borderId="0" xfId="1" applyNumberFormat="1" applyFill="1"/>
    <xf numFmtId="43" fontId="1" fillId="0" borderId="0" xfId="2" applyNumberFormat="1" applyFill="1"/>
    <xf numFmtId="6" fontId="1" fillId="0" borderId="0" xfId="2" applyNumberFormat="1" applyFill="1"/>
    <xf numFmtId="9" fontId="1" fillId="0" borderId="0" xfId="3" applyNumberFormat="1" applyFill="1"/>
    <xf numFmtId="6" fontId="1" fillId="0" borderId="9" xfId="2" applyNumberFormat="1" applyFill="1" applyBorder="1"/>
    <xf numFmtId="10" fontId="1" fillId="0" borderId="7" xfId="2" applyNumberFormat="1" applyFill="1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5" fillId="0" borderId="0" xfId="0" applyFont="1"/>
  </cellXfs>
  <cellStyles count="4">
    <cellStyle name="Currency" xfId="1" builtinId="4"/>
    <cellStyle name="Excel Built-in Normal" xfId="2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8"/>
  <sheetViews>
    <sheetView tabSelected="1" topLeftCell="A137" zoomScale="75" zoomScaleNormal="75" zoomScaleSheetLayoutView="30" workbookViewId="0">
      <selection activeCell="E22" sqref="E22"/>
    </sheetView>
  </sheetViews>
  <sheetFormatPr defaultColWidth="9.42578125" defaultRowHeight="15" x14ac:dyDescent="0.25"/>
  <cols>
    <col min="1" max="1" width="3.140625" style="1" customWidth="1"/>
    <col min="2" max="2" width="31.28515625" style="1" customWidth="1"/>
    <col min="3" max="3" width="12.28515625" style="1" bestFit="1" customWidth="1"/>
    <col min="4" max="4" width="3.7109375" style="1" customWidth="1"/>
    <col min="5" max="5" width="11.7109375" style="1" bestFit="1" customWidth="1"/>
    <col min="6" max="6" width="5.5703125" style="1" customWidth="1"/>
    <col min="7" max="7" width="11.7109375" style="1" bestFit="1" customWidth="1"/>
    <col min="8" max="8" width="4.28515625" style="1" customWidth="1"/>
    <col min="9" max="9" width="11.7109375" style="1" bestFit="1" customWidth="1"/>
    <col min="10" max="10" width="1" style="1" customWidth="1"/>
    <col min="11" max="11" width="11.7109375" style="1" bestFit="1" customWidth="1"/>
    <col min="12" max="12" width="1.85546875" style="1" customWidth="1"/>
    <col min="13" max="13" width="11.7109375" style="1" bestFit="1" customWidth="1"/>
    <col min="14" max="14" width="1.28515625" style="1" customWidth="1"/>
    <col min="15" max="15" width="11.7109375" style="1" bestFit="1" customWidth="1"/>
    <col min="16" max="16" width="1.140625" style="1" customWidth="1"/>
    <col min="17" max="17" width="11.7109375" style="1" customWidth="1"/>
    <col min="18" max="18" width="1" style="1" customWidth="1"/>
    <col min="19" max="19" width="11.7109375" style="1" customWidth="1"/>
    <col min="20" max="20" width="1" style="1" customWidth="1"/>
    <col min="21" max="21" width="8.7109375" style="1" bestFit="1" customWidth="1"/>
    <col min="22" max="22" width="31.42578125" style="1" customWidth="1"/>
    <col min="23" max="23" width="11" style="1" customWidth="1"/>
    <col min="24" max="25" width="9.42578125" style="1"/>
    <col min="26" max="26" width="10" style="1" customWidth="1"/>
    <col min="27" max="16384" width="9.42578125" style="1"/>
  </cols>
  <sheetData>
    <row r="1" spans="1:22" s="3" customFormat="1" x14ac:dyDescent="0.25">
      <c r="A1" s="2" t="s">
        <v>177</v>
      </c>
    </row>
    <row r="2" spans="1:22" x14ac:dyDescent="0.25">
      <c r="E2" s="12">
        <v>2012</v>
      </c>
      <c r="F2" s="12"/>
      <c r="G2" s="12">
        <v>2013</v>
      </c>
      <c r="H2" s="12"/>
      <c r="I2" s="12">
        <v>2014</v>
      </c>
      <c r="J2" s="12"/>
      <c r="K2" s="12">
        <v>2015</v>
      </c>
      <c r="L2" s="12"/>
      <c r="M2" s="12">
        <v>2016</v>
      </c>
      <c r="N2" s="12"/>
      <c r="O2" s="12">
        <v>2017</v>
      </c>
      <c r="P2" s="12"/>
      <c r="Q2" s="12">
        <v>2018</v>
      </c>
      <c r="R2" s="12"/>
      <c r="S2" s="12">
        <v>2019</v>
      </c>
    </row>
    <row r="3" spans="1:22" x14ac:dyDescent="0.25">
      <c r="A3" s="4" t="s">
        <v>0</v>
      </c>
    </row>
    <row r="4" spans="1:22" x14ac:dyDescent="0.25">
      <c r="A4" s="1" t="s">
        <v>1</v>
      </c>
      <c r="E4" s="25">
        <v>0.99</v>
      </c>
      <c r="F4" s="5"/>
      <c r="G4" s="5">
        <f>E4*(1+$U$4)</f>
        <v>0.99</v>
      </c>
      <c r="H4" s="5"/>
      <c r="I4" s="5">
        <f>G4*(1+$U$4)</f>
        <v>0.99</v>
      </c>
      <c r="J4" s="5"/>
      <c r="K4" s="5">
        <f>I4*(1+$U$4)</f>
        <v>0.99</v>
      </c>
      <c r="L4" s="5"/>
      <c r="M4" s="5">
        <f>K4*(1+$U$4)</f>
        <v>0.99</v>
      </c>
      <c r="N4" s="5"/>
      <c r="O4" s="5">
        <f>M4*(1+$U$4)</f>
        <v>0.99</v>
      </c>
      <c r="P4" s="5"/>
      <c r="Q4" s="5">
        <f>O4*(1+$U$4)</f>
        <v>0.99</v>
      </c>
      <c r="R4" s="5"/>
      <c r="S4" s="5">
        <f>Q4*(1+$U$4)</f>
        <v>0.99</v>
      </c>
      <c r="T4" s="6"/>
      <c r="U4" s="5">
        <v>0</v>
      </c>
      <c r="V4" s="1" t="s">
        <v>2</v>
      </c>
    </row>
    <row r="5" spans="1:22" x14ac:dyDescent="0.25">
      <c r="A5" s="1" t="s">
        <v>100</v>
      </c>
      <c r="E5" s="71">
        <v>15</v>
      </c>
      <c r="F5" s="6"/>
      <c r="G5" s="6">
        <f>+E5*(1+$U$5)</f>
        <v>15</v>
      </c>
      <c r="H5" s="6"/>
      <c r="I5" s="6">
        <f>+G5*(1+$U$5)</f>
        <v>15</v>
      </c>
      <c r="J5" s="6"/>
      <c r="K5" s="6">
        <f>+I5*(1+$U$5)</f>
        <v>15</v>
      </c>
      <c r="L5" s="6"/>
      <c r="M5" s="6">
        <f>+K5*(1+$U$5)</f>
        <v>15</v>
      </c>
      <c r="N5" s="6"/>
      <c r="O5" s="6">
        <f>+M5*(1+$U$5)</f>
        <v>15</v>
      </c>
      <c r="P5" s="6"/>
      <c r="Q5" s="6">
        <f>+O5*(1+$U$5)</f>
        <v>15</v>
      </c>
      <c r="R5" s="6"/>
      <c r="S5" s="6">
        <f>+Q5*(1+$U$5)</f>
        <v>15</v>
      </c>
      <c r="T5" s="6"/>
      <c r="U5" s="5">
        <v>0</v>
      </c>
      <c r="V5" s="1" t="s">
        <v>2</v>
      </c>
    </row>
    <row r="6" spans="1:22" x14ac:dyDescent="0.25">
      <c r="A6" s="27" t="s">
        <v>189</v>
      </c>
      <c r="B6" s="27"/>
      <c r="E6" s="7">
        <f>700</f>
        <v>700</v>
      </c>
      <c r="F6" s="7"/>
      <c r="G6" s="7">
        <f>E6*(1+$U$6)</f>
        <v>721</v>
      </c>
      <c r="H6" s="7"/>
      <c r="I6" s="7">
        <f>G6*(1+$U$6)</f>
        <v>742.63</v>
      </c>
      <c r="J6" s="7"/>
      <c r="K6" s="7">
        <f>I6*(1+$U$6)</f>
        <v>764.90890000000002</v>
      </c>
      <c r="L6" s="7"/>
      <c r="M6" s="7">
        <f>K6*(1+$U$6)</f>
        <v>787.85616700000003</v>
      </c>
      <c r="N6" s="7"/>
      <c r="O6" s="7">
        <f>M6*(1+$U$6)</f>
        <v>811.49185201</v>
      </c>
      <c r="P6" s="7"/>
      <c r="Q6" s="7">
        <f>O6*(1+$U$6)</f>
        <v>835.83660757029998</v>
      </c>
      <c r="R6" s="7"/>
      <c r="S6" s="7">
        <f>Q6*(1+$U$6)</f>
        <v>860.91170579740901</v>
      </c>
      <c r="T6" s="7"/>
      <c r="U6" s="5">
        <v>0.03</v>
      </c>
      <c r="V6" s="1" t="s">
        <v>2</v>
      </c>
    </row>
    <row r="7" spans="1:22" x14ac:dyDescent="0.25">
      <c r="A7" s="1" t="s">
        <v>103</v>
      </c>
      <c r="E7" s="57">
        <v>0.5</v>
      </c>
      <c r="F7" s="21"/>
      <c r="G7" s="21">
        <v>0.5</v>
      </c>
      <c r="H7" s="21"/>
      <c r="I7" s="21">
        <v>0.5</v>
      </c>
      <c r="J7" s="21"/>
      <c r="K7" s="21">
        <v>0.5</v>
      </c>
      <c r="L7" s="21"/>
      <c r="M7" s="21">
        <v>0.5</v>
      </c>
      <c r="N7" s="21"/>
      <c r="O7" s="21">
        <v>0.5</v>
      </c>
      <c r="P7" s="21"/>
      <c r="Q7" s="21">
        <v>0.5</v>
      </c>
      <c r="R7" s="21"/>
      <c r="S7" s="21">
        <v>0.5</v>
      </c>
      <c r="T7" s="7"/>
      <c r="U7" s="5">
        <v>0</v>
      </c>
      <c r="V7" s="1" t="s">
        <v>2</v>
      </c>
    </row>
    <row r="8" spans="1:22" x14ac:dyDescent="0.25">
      <c r="A8" s="1" t="s">
        <v>105</v>
      </c>
      <c r="E8" s="24">
        <v>75</v>
      </c>
      <c r="F8" s="24"/>
      <c r="G8" s="24">
        <f>E8+(E8*$U$8)</f>
        <v>76.5</v>
      </c>
      <c r="H8" s="24"/>
      <c r="I8" s="24">
        <f>G8+(G8*$U$8)</f>
        <v>78.03</v>
      </c>
      <c r="J8" s="24"/>
      <c r="K8" s="24">
        <f>I8+(I8*$U$8)</f>
        <v>79.590599999999995</v>
      </c>
      <c r="L8" s="24"/>
      <c r="M8" s="24">
        <f>K8+(K8*$U$8)</f>
        <v>81.182411999999999</v>
      </c>
      <c r="N8" s="24"/>
      <c r="O8" s="24">
        <f>M8+(M8*$U$8)</f>
        <v>82.806060239999994</v>
      </c>
      <c r="P8" s="24"/>
      <c r="Q8" s="24">
        <f>O8+(O8*$U$8)</f>
        <v>84.462181444799995</v>
      </c>
      <c r="R8" s="24"/>
      <c r="S8" s="24">
        <f>Q8+(Q8*$U$8)</f>
        <v>86.151425073695989</v>
      </c>
      <c r="T8" s="7"/>
      <c r="U8" s="5">
        <v>0.02</v>
      </c>
      <c r="V8" s="1" t="s">
        <v>2</v>
      </c>
    </row>
    <row r="9" spans="1:22" x14ac:dyDescent="0.25"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2" x14ac:dyDescent="0.25">
      <c r="A10" s="4" t="s">
        <v>3</v>
      </c>
      <c r="M10" s="27"/>
    </row>
    <row r="11" spans="1:22" x14ac:dyDescent="0.25">
      <c r="A11" s="1" t="s">
        <v>96</v>
      </c>
      <c r="E11" s="72">
        <v>0.05</v>
      </c>
      <c r="F11" s="27"/>
      <c r="G11" s="57">
        <f>+E11*(1+$U$11)</f>
        <v>0.05</v>
      </c>
      <c r="H11" s="57"/>
      <c r="I11" s="57">
        <f>+G11*(1+$U$11)</f>
        <v>0.05</v>
      </c>
      <c r="J11" s="57"/>
      <c r="K11" s="57">
        <f>+I11*(1+$U$11)</f>
        <v>0.05</v>
      </c>
      <c r="L11" s="57"/>
      <c r="M11" s="57">
        <f>+K11*(1+$U$11)</f>
        <v>0.05</v>
      </c>
      <c r="N11" s="27"/>
      <c r="O11" s="57">
        <f>+M11*(1+$U$11)</f>
        <v>0.05</v>
      </c>
      <c r="P11" s="57"/>
      <c r="Q11" s="57">
        <f>+O11*(1+$U$11)</f>
        <v>0.05</v>
      </c>
      <c r="R11" s="57"/>
      <c r="S11" s="57">
        <f>+Q11*(1+$U$11)</f>
        <v>0.05</v>
      </c>
      <c r="U11" s="5">
        <v>0</v>
      </c>
      <c r="V11" s="1" t="s">
        <v>101</v>
      </c>
    </row>
    <row r="12" spans="1:22" x14ac:dyDescent="0.25"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</row>
    <row r="13" spans="1:22" x14ac:dyDescent="0.25">
      <c r="A13" s="4" t="s">
        <v>5</v>
      </c>
      <c r="E13" s="28">
        <v>2012</v>
      </c>
      <c r="F13" s="28"/>
      <c r="G13" s="28">
        <v>2013</v>
      </c>
      <c r="H13" s="28"/>
      <c r="I13" s="28">
        <v>2014</v>
      </c>
      <c r="J13" s="28"/>
      <c r="K13" s="28">
        <v>2015</v>
      </c>
      <c r="L13" s="28"/>
      <c r="M13" s="28">
        <v>2016</v>
      </c>
      <c r="N13" s="28"/>
      <c r="O13" s="28">
        <v>2017</v>
      </c>
      <c r="P13" s="28"/>
      <c r="Q13" s="28">
        <v>2018</v>
      </c>
      <c r="R13" s="28"/>
      <c r="S13" s="28">
        <v>2019</v>
      </c>
    </row>
    <row r="14" spans="1:22" x14ac:dyDescent="0.25">
      <c r="A14" s="8" t="s">
        <v>6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9"/>
    </row>
    <row r="15" spans="1:22" x14ac:dyDescent="0.25">
      <c r="A15" s="8"/>
      <c r="B15" s="1" t="s">
        <v>7</v>
      </c>
      <c r="E15" s="9">
        <f>(E4*E5*E6*12)+(E7*E6*12)</f>
        <v>128940</v>
      </c>
      <c r="F15" s="9"/>
      <c r="G15" s="9">
        <f>(G4*G5*G6*12)+(G7*G6*12)</f>
        <v>132808.20000000001</v>
      </c>
      <c r="H15" s="9"/>
      <c r="I15" s="9">
        <f>(I4*I5*I6*12)+(I7*I6*12)</f>
        <v>136792.446</v>
      </c>
      <c r="J15" s="9"/>
      <c r="K15" s="9">
        <f>(K4*K5*K6*12)+(K7*K6*12)</f>
        <v>140896.21937999999</v>
      </c>
      <c r="L15" s="9"/>
      <c r="M15" s="9">
        <f>(M4*M5*M6*12)+(M7*M6*12)</f>
        <v>145123.1059614</v>
      </c>
      <c r="N15" s="9"/>
      <c r="O15" s="9">
        <f>(O4*O5*O6*12)+(O7*O6*12)</f>
        <v>149476.79914024199</v>
      </c>
      <c r="P15" s="9"/>
      <c r="Q15" s="9">
        <f>(Q4*Q5*Q6*12)+(Q7*Q6*12)</f>
        <v>153961.10311444924</v>
      </c>
      <c r="R15" s="9"/>
      <c r="S15" s="9">
        <f>(S4*S5*S6*12)+(S7*S6*12)</f>
        <v>158579.93620788274</v>
      </c>
      <c r="T15" s="9"/>
    </row>
    <row r="16" spans="1:22" x14ac:dyDescent="0.25">
      <c r="A16" s="8"/>
      <c r="B16" s="1" t="s">
        <v>104</v>
      </c>
      <c r="E16" s="9">
        <f>E22</f>
        <v>14265</v>
      </c>
      <c r="F16" s="9"/>
      <c r="G16" s="9">
        <f>G22</f>
        <v>14550.300000000001</v>
      </c>
      <c r="H16" s="9"/>
      <c r="I16" s="9">
        <f>I22</f>
        <v>14841.306</v>
      </c>
      <c r="J16" s="9"/>
      <c r="K16" s="9">
        <f>K22</f>
        <v>15138.132119999998</v>
      </c>
      <c r="L16" s="9"/>
      <c r="M16" s="9">
        <f>M22</f>
        <v>15440.894762399997</v>
      </c>
      <c r="N16" s="9"/>
      <c r="O16" s="9">
        <f>O22</f>
        <v>15749.712657647999</v>
      </c>
      <c r="P16" s="9"/>
      <c r="Q16" s="9">
        <f>Q22</f>
        <v>16064.70691080096</v>
      </c>
      <c r="R16" s="9"/>
      <c r="S16" s="9">
        <f>S22</f>
        <v>16386.001049016977</v>
      </c>
      <c r="T16" s="9"/>
    </row>
    <row r="17" spans="1:22" x14ac:dyDescent="0.25">
      <c r="A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2" x14ac:dyDescent="0.25">
      <c r="A18" s="1" t="s">
        <v>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2" x14ac:dyDescent="0.25">
      <c r="B19" s="1" t="s">
        <v>9</v>
      </c>
      <c r="E19" s="29">
        <f>($U$19*(E15))+(E7*E6*12)</f>
        <v>14515.2</v>
      </c>
      <c r="F19" s="29"/>
      <c r="G19" s="29">
        <f>($U$19*(G15))+(G7*G6*12)</f>
        <v>14950.656000000001</v>
      </c>
      <c r="H19" s="29"/>
      <c r="I19" s="29">
        <f>($U$19*(I15))+(I7*I6*12)</f>
        <v>15399.17568</v>
      </c>
      <c r="J19" s="29"/>
      <c r="K19" s="29">
        <f>($U$19*(K15))+(K7*K6*12)</f>
        <v>15861.150950400001</v>
      </c>
      <c r="L19" s="29"/>
      <c r="M19" s="29">
        <f>($U$19*(M15))+(M7*M6*12)</f>
        <v>16336.985478912</v>
      </c>
      <c r="N19" s="29"/>
      <c r="O19" s="29">
        <f>($U$19*(O15))+(O7*O6*12)</f>
        <v>16827.095043279362</v>
      </c>
      <c r="P19" s="29"/>
      <c r="Q19" s="29">
        <f>($U$19*(Q15))+(Q7*Q6*12)</f>
        <v>17331.90789457774</v>
      </c>
      <c r="R19" s="29"/>
      <c r="S19" s="29">
        <f>($U$19*(S15))+(S7*S6*12)</f>
        <v>17851.865131415074</v>
      </c>
      <c r="T19" s="10"/>
      <c r="U19" s="25">
        <v>0.08</v>
      </c>
      <c r="V19" s="1" t="s">
        <v>106</v>
      </c>
    </row>
    <row r="20" spans="1:22" x14ac:dyDescent="0.25">
      <c r="B20" s="1" t="s">
        <v>10</v>
      </c>
      <c r="E20" s="9">
        <f>$U$20*E15</f>
        <v>12249.3</v>
      </c>
      <c r="F20" s="9"/>
      <c r="G20" s="9">
        <f>$U$20*G15</f>
        <v>12616.779</v>
      </c>
      <c r="H20" s="9"/>
      <c r="I20" s="9">
        <f>$U$20*I15</f>
        <v>12995.282369999999</v>
      </c>
      <c r="J20" s="9"/>
      <c r="K20" s="9">
        <f>$U$20*K15</f>
        <v>13385.140841099999</v>
      </c>
      <c r="L20" s="9"/>
      <c r="M20" s="9">
        <f>$U$20*M15</f>
        <v>13786.695066332999</v>
      </c>
      <c r="N20" s="9"/>
      <c r="O20" s="9">
        <f>$U$20*O15</f>
        <v>14200.295918322989</v>
      </c>
      <c r="P20" s="9"/>
      <c r="Q20" s="9">
        <f>$U$20*Q15</f>
        <v>14626.304795872678</v>
      </c>
      <c r="R20" s="9"/>
      <c r="S20" s="9">
        <f>$U$20*S15</f>
        <v>15065.09393974886</v>
      </c>
      <c r="T20" s="9"/>
      <c r="U20" s="25">
        <v>9.5000000000000001E-2</v>
      </c>
      <c r="V20" s="1" t="s">
        <v>97</v>
      </c>
    </row>
    <row r="21" spans="1:22" x14ac:dyDescent="0.25">
      <c r="B21" s="1" t="s">
        <v>11</v>
      </c>
      <c r="E21" s="9">
        <v>900</v>
      </c>
      <c r="F21" s="9"/>
      <c r="G21" s="9">
        <f>$E$21</f>
        <v>900</v>
      </c>
      <c r="H21" s="9"/>
      <c r="I21" s="9">
        <f>$E$21</f>
        <v>900</v>
      </c>
      <c r="J21" s="9"/>
      <c r="K21" s="9">
        <f>$E$21</f>
        <v>900</v>
      </c>
      <c r="L21" s="9"/>
      <c r="M21" s="9">
        <f>$E$21</f>
        <v>900</v>
      </c>
      <c r="N21" s="9"/>
      <c r="O21" s="9">
        <f>$E$21</f>
        <v>900</v>
      </c>
      <c r="P21" s="9"/>
      <c r="Q21" s="9">
        <f>$E$21</f>
        <v>900</v>
      </c>
      <c r="R21" s="9"/>
      <c r="S21" s="9">
        <f>$E$21</f>
        <v>900</v>
      </c>
      <c r="T21" s="9"/>
      <c r="U21" s="25"/>
      <c r="V21" s="1" t="s">
        <v>98</v>
      </c>
    </row>
    <row r="22" spans="1:22" x14ac:dyDescent="0.25">
      <c r="B22" s="18" t="s">
        <v>12</v>
      </c>
      <c r="C22" s="18"/>
      <c r="D22" s="18"/>
      <c r="E22" s="19">
        <f>(E8*E5*E4+(E8))*12</f>
        <v>14265</v>
      </c>
      <c r="F22" s="19"/>
      <c r="G22" s="19">
        <f>(G8*G5*G4+(G8))*12</f>
        <v>14550.300000000001</v>
      </c>
      <c r="H22" s="19"/>
      <c r="I22" s="19">
        <f>(I8*I5*I4+(I8))*12</f>
        <v>14841.306</v>
      </c>
      <c r="J22" s="19"/>
      <c r="K22" s="19">
        <f>(K8*K5*K4+(K8))*12</f>
        <v>15138.132119999998</v>
      </c>
      <c r="L22" s="19"/>
      <c r="M22" s="19">
        <f>(M8*M5*M4+(M8))*12</f>
        <v>15440.894762399997</v>
      </c>
      <c r="N22" s="19"/>
      <c r="O22" s="19">
        <f>(O8*O5*O4+(O8))*12</f>
        <v>15749.712657647999</v>
      </c>
      <c r="P22" s="19"/>
      <c r="Q22" s="19">
        <f>(Q8*Q5*Q4+(Q8))*12</f>
        <v>16064.70691080096</v>
      </c>
      <c r="R22" s="19"/>
      <c r="S22" s="19">
        <f>(S8*S5*S4+(S8))*12</f>
        <v>16386.001049016977</v>
      </c>
      <c r="T22" s="9"/>
      <c r="U22" s="25"/>
    </row>
    <row r="23" spans="1:22" x14ac:dyDescent="0.25">
      <c r="B23" s="1" t="s">
        <v>13</v>
      </c>
      <c r="E23" s="9">
        <f>SUM(E19:E22)</f>
        <v>41929.5</v>
      </c>
      <c r="F23" s="9"/>
      <c r="G23" s="9">
        <f>SUM(G19:G22)</f>
        <v>43017.735000000001</v>
      </c>
      <c r="H23" s="9"/>
      <c r="I23" s="9">
        <f>SUM(I19:I22)</f>
        <v>44135.764049999998</v>
      </c>
      <c r="J23" s="9"/>
      <c r="K23" s="9">
        <f>SUM(K19:K22)</f>
        <v>45284.423911499995</v>
      </c>
      <c r="L23" s="9"/>
      <c r="M23" s="9">
        <f>SUM(M19:M22)</f>
        <v>46464.575307644998</v>
      </c>
      <c r="N23" s="9"/>
      <c r="O23" s="9">
        <f>SUM(O19:O22)</f>
        <v>47677.103619250352</v>
      </c>
      <c r="P23" s="9"/>
      <c r="Q23" s="9">
        <f>SUM(Q19:Q22)</f>
        <v>48922.919601251378</v>
      </c>
      <c r="R23" s="9"/>
      <c r="S23" s="9">
        <f>SUM(S19:S22)</f>
        <v>50202.960120180913</v>
      </c>
      <c r="T23" s="9"/>
    </row>
    <row r="24" spans="1:22" x14ac:dyDescent="0.25"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2" x14ac:dyDescent="0.25">
      <c r="A25" s="1" t="s">
        <v>14</v>
      </c>
      <c r="E25" s="9">
        <f>SUM(E15:E16)-E23</f>
        <v>101275.5</v>
      </c>
      <c r="F25" s="9"/>
      <c r="G25" s="9">
        <f>SUM(G15:G16)-G23</f>
        <v>104340.765</v>
      </c>
      <c r="H25" s="9"/>
      <c r="I25" s="9">
        <f>SUM(I15:I16)-I23</f>
        <v>107497.98795000001</v>
      </c>
      <c r="J25" s="9"/>
      <c r="K25" s="9">
        <f>SUM(K15:K16)-K23</f>
        <v>110749.9275885</v>
      </c>
      <c r="L25" s="9"/>
      <c r="M25" s="9">
        <f>SUM(M15:M16)-M23</f>
        <v>114099.42541615499</v>
      </c>
      <c r="N25" s="9"/>
      <c r="O25" s="9">
        <f>SUM(O15:O16)-O23</f>
        <v>117549.40817863963</v>
      </c>
      <c r="P25" s="9"/>
      <c r="Q25" s="9">
        <f>SUM(Q15:Q16)-Q23</f>
        <v>121102.89042399882</v>
      </c>
      <c r="R25" s="9"/>
      <c r="S25" s="9">
        <f>SUM(S15:S16)-S23</f>
        <v>124762.97713671881</v>
      </c>
      <c r="T25" s="9"/>
    </row>
    <row r="26" spans="1:22" x14ac:dyDescent="0.25"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2" x14ac:dyDescent="0.25">
      <c r="A27" s="1" t="s">
        <v>15</v>
      </c>
      <c r="E27" s="9">
        <f>+E42/$U$27</f>
        <v>50000</v>
      </c>
      <c r="F27" s="9"/>
      <c r="G27" s="9">
        <f>+G42/$U$27</f>
        <v>50000</v>
      </c>
      <c r="H27" s="9"/>
      <c r="I27" s="9">
        <f>+I42/$U$27</f>
        <v>50000</v>
      </c>
      <c r="J27" s="9"/>
      <c r="K27" s="9">
        <f>+K42/$U$27</f>
        <v>50000</v>
      </c>
      <c r="L27" s="9"/>
      <c r="M27" s="9">
        <f>+M42/$U$27</f>
        <v>50000</v>
      </c>
      <c r="N27" s="9"/>
      <c r="O27" s="9">
        <f>+O42/$U$27</f>
        <v>50000</v>
      </c>
      <c r="P27" s="9"/>
      <c r="Q27" s="9">
        <f>+Q42/$U$27</f>
        <v>50000</v>
      </c>
      <c r="R27" s="9"/>
      <c r="S27" s="9">
        <f>+S42/$U$27</f>
        <v>50000</v>
      </c>
      <c r="T27" s="9"/>
      <c r="U27" s="1">
        <v>20</v>
      </c>
      <c r="V27" s="1" t="s">
        <v>16</v>
      </c>
    </row>
    <row r="28" spans="1:22" x14ac:dyDescent="0.25">
      <c r="A28" s="1" t="s">
        <v>17</v>
      </c>
      <c r="E28" s="9">
        <f>Mortgage!D14</f>
        <v>67218.65707634369</v>
      </c>
      <c r="F28" s="9"/>
      <c r="G28" s="9">
        <f>Mortgage!D28</f>
        <v>66574.577455458741</v>
      </c>
      <c r="H28" s="9"/>
      <c r="I28" s="9">
        <f>Mortgage!D42</f>
        <v>65880.496259734326</v>
      </c>
      <c r="J28" s="9"/>
      <c r="K28" s="9">
        <f>Mortgage!D56</f>
        <v>65132.531736968718</v>
      </c>
      <c r="L28" s="9"/>
      <c r="M28" s="9">
        <f>Mortgage!D70</f>
        <v>64326.500784448683</v>
      </c>
      <c r="N28" s="9"/>
      <c r="O28" s="9">
        <f>Mortgage!D84</f>
        <v>63457.895554326118</v>
      </c>
      <c r="P28" s="9"/>
      <c r="Q28" s="9">
        <f>Mortgage!D98</f>
        <v>62521.858242809198</v>
      </c>
      <c r="R28" s="9"/>
      <c r="S28" s="9">
        <f>Mortgage!D112</f>
        <v>61513.153922173027</v>
      </c>
      <c r="T28" s="9"/>
      <c r="V28" s="1" t="s">
        <v>4</v>
      </c>
    </row>
    <row r="29" spans="1:22" x14ac:dyDescent="0.25">
      <c r="A29" s="1" t="s">
        <v>18</v>
      </c>
      <c r="E29" s="9">
        <f>+E52*$U$29</f>
        <v>3711.9947564010395</v>
      </c>
      <c r="F29" s="9"/>
      <c r="G29" s="9">
        <f>+G52*$U$29</f>
        <v>1478.0736098784255</v>
      </c>
      <c r="H29" s="9"/>
      <c r="I29" s="9">
        <f>+I52*$U$29</f>
        <v>0</v>
      </c>
      <c r="J29" s="9"/>
      <c r="K29" s="9">
        <f>+K52*$U$29</f>
        <v>0</v>
      </c>
      <c r="L29" s="9"/>
      <c r="M29" s="9">
        <f>+M52*$U$29</f>
        <v>0</v>
      </c>
      <c r="N29" s="9"/>
      <c r="O29" s="9">
        <f>+O52*$U$29</f>
        <v>0</v>
      </c>
      <c r="P29" s="9"/>
      <c r="Q29" s="9">
        <f>+Q52*$U$29</f>
        <v>0</v>
      </c>
      <c r="R29" s="9"/>
      <c r="S29" s="9">
        <f>+S52*$U$29</f>
        <v>0</v>
      </c>
      <c r="T29" s="9"/>
      <c r="U29" s="5">
        <v>0.08</v>
      </c>
      <c r="V29" s="1" t="s">
        <v>19</v>
      </c>
    </row>
    <row r="30" spans="1:22" x14ac:dyDescent="0.25"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2" x14ac:dyDescent="0.25">
      <c r="A31" s="1" t="s">
        <v>20</v>
      </c>
      <c r="E31" s="9">
        <f>+E25-E27-E28-E29</f>
        <v>-19655.15183274473</v>
      </c>
      <c r="F31" s="9"/>
      <c r="G31" s="9">
        <f>+G25-G27-G28-G29</f>
        <v>-13711.886065337167</v>
      </c>
      <c r="H31" s="9"/>
      <c r="I31" s="9">
        <f>+I25-I27-I28-I29</f>
        <v>-8382.5083097343158</v>
      </c>
      <c r="J31" s="9"/>
      <c r="K31" s="9">
        <f>+K25-K27-K28-K29</f>
        <v>-4382.604148468723</v>
      </c>
      <c r="L31" s="9"/>
      <c r="M31" s="9">
        <f>+M25-M27-M28-M29</f>
        <v>-227.07536829369201</v>
      </c>
      <c r="N31" s="9"/>
      <c r="O31" s="9">
        <f>+O25-O27-O28-O29</f>
        <v>4091.5126243135091</v>
      </c>
      <c r="P31" s="9"/>
      <c r="Q31" s="9">
        <f>+Q25-Q27-Q28-Q29</f>
        <v>8581.032181189621</v>
      </c>
      <c r="R31" s="9"/>
      <c r="S31" s="9">
        <f>+S25-S27-S28-S29</f>
        <v>13249.823214545781</v>
      </c>
      <c r="T31" s="9"/>
    </row>
    <row r="32" spans="1:22" x14ac:dyDescent="0.25">
      <c r="A32" s="1" t="s">
        <v>21</v>
      </c>
      <c r="C32" s="27"/>
      <c r="E32" s="9">
        <f>E31*$U$32</f>
        <v>-2948.2727749117093</v>
      </c>
      <c r="F32" s="9"/>
      <c r="G32" s="9">
        <f>G31*$U$32</f>
        <v>-2056.782909800575</v>
      </c>
      <c r="H32" s="9"/>
      <c r="I32" s="9">
        <f>I31*$U$32</f>
        <v>-1257.3762464601473</v>
      </c>
      <c r="J32" s="9"/>
      <c r="K32" s="9">
        <f>K31*$U$32</f>
        <v>-657.39062227030843</v>
      </c>
      <c r="L32" s="9"/>
      <c r="M32" s="9">
        <f>M31*$U$32</f>
        <v>-34.061305244053798</v>
      </c>
      <c r="N32" s="9"/>
      <c r="O32" s="9">
        <f>IF(O31&lt;0,0,O31*$U$32)</f>
        <v>613.72689364702637</v>
      </c>
      <c r="P32" s="9"/>
      <c r="Q32" s="9">
        <f>IF(Q31&lt;0,0,Q31*$U$32)</f>
        <v>1287.1548271784432</v>
      </c>
      <c r="R32" s="9"/>
      <c r="S32" s="9">
        <f>IF(S31&lt;0,0,S31*$U$32)</f>
        <v>1987.473482181867</v>
      </c>
      <c r="T32" s="9"/>
      <c r="U32" s="5">
        <v>0.15</v>
      </c>
      <c r="V32" s="1" t="s">
        <v>22</v>
      </c>
    </row>
    <row r="33" spans="1:22" x14ac:dyDescent="0.25">
      <c r="A33" s="4" t="s">
        <v>23</v>
      </c>
      <c r="E33" s="9">
        <f>IF(E32&lt;0,E31,E31-E32)</f>
        <v>-19655.15183274473</v>
      </c>
      <c r="F33" s="9"/>
      <c r="G33" s="9">
        <f>IF(G32&lt;0,G31,G31-G32)</f>
        <v>-13711.886065337167</v>
      </c>
      <c r="H33" s="9"/>
      <c r="I33" s="9">
        <f>IF(I32&lt;0,I31,I31-I32)</f>
        <v>-8382.5083097343158</v>
      </c>
      <c r="J33" s="9"/>
      <c r="K33" s="9">
        <f>IF(K32&lt;0,K31,K31-K32)</f>
        <v>-4382.604148468723</v>
      </c>
      <c r="L33" s="9"/>
      <c r="M33" s="9">
        <f>IF(M32&lt;0,M31,M31-M32)</f>
        <v>-227.07536829369201</v>
      </c>
      <c r="N33" s="9"/>
      <c r="O33" s="9">
        <f>IF(O32&lt;0,O31,O31-O32)</f>
        <v>3477.7857306664828</v>
      </c>
      <c r="P33" s="9"/>
      <c r="Q33" s="9">
        <f>IF(Q32&lt;0,Q31,Q31-Q32)</f>
        <v>7293.8773540111779</v>
      </c>
      <c r="R33" s="9"/>
      <c r="S33" s="9">
        <f>IF(S32&lt;0,S31,S31-S32)</f>
        <v>11262.349732363913</v>
      </c>
      <c r="T33" s="9"/>
    </row>
    <row r="34" spans="1:22" x14ac:dyDescent="0.25">
      <c r="A34" s="4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2" x14ac:dyDescent="0.25"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22" x14ac:dyDescent="0.25">
      <c r="A36" s="4" t="s">
        <v>24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22" x14ac:dyDescent="0.25">
      <c r="A37" s="4" t="s">
        <v>25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</row>
    <row r="38" spans="1:22" x14ac:dyDescent="0.25">
      <c r="A38" s="1" t="s">
        <v>26</v>
      </c>
      <c r="E38" s="9">
        <v>5000</v>
      </c>
      <c r="F38" s="9"/>
      <c r="G38" s="9">
        <v>5000</v>
      </c>
      <c r="H38" s="9"/>
      <c r="I38" s="9">
        <v>18981.857566160033</v>
      </c>
      <c r="J38" s="9"/>
      <c r="K38" s="9">
        <v>54482.420355149792</v>
      </c>
      <c r="L38" s="9"/>
      <c r="M38" s="9">
        <v>139477.94951591559</v>
      </c>
      <c r="N38" s="9"/>
      <c r="O38" s="9">
        <v>181191.71680094895</v>
      </c>
      <c r="P38" s="9"/>
      <c r="Q38" s="9">
        <v>225800.54207419616</v>
      </c>
      <c r="R38" s="9"/>
      <c r="S38" s="9">
        <v>273385.07098662981</v>
      </c>
      <c r="T38" s="9"/>
      <c r="U38" s="10">
        <v>5000</v>
      </c>
      <c r="V38" s="1" t="s">
        <v>99</v>
      </c>
    </row>
    <row r="39" spans="1:22" x14ac:dyDescent="0.25">
      <c r="A39" s="1" t="s">
        <v>110</v>
      </c>
      <c r="E39" s="9">
        <f>E6*E5</f>
        <v>10500</v>
      </c>
      <c r="F39" s="9"/>
      <c r="G39" s="9">
        <f>G6*G5</f>
        <v>10815</v>
      </c>
      <c r="H39" s="9"/>
      <c r="I39" s="9">
        <f>I6*I5</f>
        <v>11139.45</v>
      </c>
      <c r="J39" s="9"/>
      <c r="K39" s="9">
        <f>K6*K5</f>
        <v>11473.6335</v>
      </c>
      <c r="L39" s="9"/>
      <c r="M39" s="9">
        <f>M6*M5</f>
        <v>11817.842505000001</v>
      </c>
      <c r="N39" s="9"/>
      <c r="O39" s="9">
        <f>O6*O5</f>
        <v>12172.37778015</v>
      </c>
      <c r="P39" s="9"/>
      <c r="Q39" s="9">
        <f>Q6*Q5</f>
        <v>12537.5491135545</v>
      </c>
      <c r="R39" s="9"/>
      <c r="S39" s="9">
        <f>S6*S5</f>
        <v>12913.675586961135</v>
      </c>
      <c r="T39" s="9"/>
      <c r="U39" s="10"/>
      <c r="V39" s="1" t="s">
        <v>111</v>
      </c>
    </row>
    <row r="40" spans="1:22" x14ac:dyDescent="0.25">
      <c r="A40" s="1" t="s">
        <v>112</v>
      </c>
      <c r="E40" s="9">
        <f>E8*(E5+1)</f>
        <v>1200</v>
      </c>
      <c r="F40" s="9"/>
      <c r="G40" s="9">
        <f>G8*(G5+1)</f>
        <v>1224</v>
      </c>
      <c r="H40" s="9"/>
      <c r="I40" s="9">
        <f>I8*(I5+1)</f>
        <v>1248.48</v>
      </c>
      <c r="J40" s="9"/>
      <c r="K40" s="9">
        <f>K8*(K5+1)</f>
        <v>1273.4495999999999</v>
      </c>
      <c r="L40" s="9"/>
      <c r="M40" s="9">
        <f>M8*(M5+1)</f>
        <v>1298.918592</v>
      </c>
      <c r="N40" s="9"/>
      <c r="O40" s="9">
        <f>O8*(O5+1)</f>
        <v>1324.8969638399999</v>
      </c>
      <c r="P40" s="9"/>
      <c r="Q40" s="9">
        <f>Q8*(Q5+1)</f>
        <v>1351.3949031167999</v>
      </c>
      <c r="R40" s="9"/>
      <c r="S40" s="9">
        <f>S8*(S5+1)</f>
        <v>1378.4228011791358</v>
      </c>
      <c r="T40" s="9"/>
      <c r="U40" s="10"/>
      <c r="V40" s="1" t="s">
        <v>111</v>
      </c>
    </row>
    <row r="41" spans="1:22" x14ac:dyDescent="0.25"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1:22" x14ac:dyDescent="0.25">
      <c r="A42" s="1" t="s">
        <v>27</v>
      </c>
      <c r="E42" s="9">
        <v>1000000</v>
      </c>
      <c r="F42" s="9"/>
      <c r="G42" s="9">
        <f>$E$42</f>
        <v>1000000</v>
      </c>
      <c r="H42" s="9"/>
      <c r="I42" s="9">
        <f>$E$42</f>
        <v>1000000</v>
      </c>
      <c r="J42" s="9"/>
      <c r="K42" s="9">
        <f>$E$42</f>
        <v>1000000</v>
      </c>
      <c r="L42" s="9"/>
      <c r="M42" s="9">
        <v>1000000</v>
      </c>
      <c r="N42" s="9"/>
      <c r="O42" s="9">
        <f>$E$42</f>
        <v>1000000</v>
      </c>
      <c r="P42" s="9"/>
      <c r="Q42" s="9">
        <f>$E$42</f>
        <v>1000000</v>
      </c>
      <c r="R42" s="9"/>
      <c r="S42" s="9">
        <f>$E$42</f>
        <v>1000000</v>
      </c>
      <c r="T42" s="9"/>
    </row>
    <row r="43" spans="1:22" x14ac:dyDescent="0.25">
      <c r="A43" s="1" t="s">
        <v>28</v>
      </c>
      <c r="E43" s="9">
        <f>+E27</f>
        <v>50000</v>
      </c>
      <c r="F43" s="9"/>
      <c r="G43" s="9">
        <f>+G27+E43</f>
        <v>100000</v>
      </c>
      <c r="H43" s="9"/>
      <c r="I43" s="9">
        <f>+I27+G43</f>
        <v>150000</v>
      </c>
      <c r="J43" s="9"/>
      <c r="K43" s="9">
        <f>+K27+I43</f>
        <v>200000</v>
      </c>
      <c r="L43" s="9"/>
      <c r="M43" s="9">
        <f>+M27+K43</f>
        <v>250000</v>
      </c>
      <c r="N43" s="9"/>
      <c r="O43" s="9">
        <f>+O27+M43</f>
        <v>300000</v>
      </c>
      <c r="P43" s="9"/>
      <c r="Q43" s="9">
        <f>+Q27+O43</f>
        <v>350000</v>
      </c>
      <c r="R43" s="9"/>
      <c r="S43" s="9">
        <f>+S27+Q43</f>
        <v>400000</v>
      </c>
      <c r="T43" s="9"/>
    </row>
    <row r="44" spans="1:22" x14ac:dyDescent="0.25"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</row>
    <row r="45" spans="1:22" x14ac:dyDescent="0.25">
      <c r="A45" s="4" t="s">
        <v>29</v>
      </c>
      <c r="E45" s="31">
        <f>+E38+E39+E40+E42-E43</f>
        <v>966700</v>
      </c>
      <c r="F45" s="28"/>
      <c r="G45" s="31">
        <f>+G38+G39+G40+G42-G43</f>
        <v>917039</v>
      </c>
      <c r="H45" s="28"/>
      <c r="I45" s="31">
        <f>+I38+I39+I40+I42-I43</f>
        <v>881369.78756616008</v>
      </c>
      <c r="J45" s="28"/>
      <c r="K45" s="31">
        <f>+K38+K39+K40+K42-K43</f>
        <v>867229.50345514971</v>
      </c>
      <c r="L45" s="31"/>
      <c r="M45" s="31">
        <f>+M38+M39+M40+M42-M43</f>
        <v>902594.71061291569</v>
      </c>
      <c r="N45" s="28"/>
      <c r="O45" s="31">
        <f>+O38+O39+O40+O42-O43</f>
        <v>894688.99154493888</v>
      </c>
      <c r="P45" s="28"/>
      <c r="Q45" s="31">
        <f>+Q38+Q39+Q40+Q42-Q43</f>
        <v>889689.48609086755</v>
      </c>
      <c r="R45" s="28"/>
      <c r="S45" s="31">
        <f>+S38+S39+S40+S42-S43</f>
        <v>887677.16937477002</v>
      </c>
    </row>
    <row r="46" spans="1:22" x14ac:dyDescent="0.25"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</row>
    <row r="47" spans="1:22" x14ac:dyDescent="0.25">
      <c r="A47" s="4" t="s">
        <v>30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</row>
    <row r="48" spans="1:22" x14ac:dyDescent="0.25">
      <c r="A48" s="1" t="s">
        <v>31</v>
      </c>
      <c r="E48" s="9">
        <f>+E32</f>
        <v>-2948.2727749117093</v>
      </c>
      <c r="F48" s="9"/>
      <c r="G48" s="9">
        <f>+G32</f>
        <v>-2056.782909800575</v>
      </c>
      <c r="H48" s="9"/>
      <c r="I48" s="9">
        <f>+I32</f>
        <v>-1257.3762464601473</v>
      </c>
      <c r="J48" s="9"/>
      <c r="K48" s="9">
        <f>+K32</f>
        <v>-657.39062227030843</v>
      </c>
      <c r="L48" s="9"/>
      <c r="M48" s="9">
        <f>+M32</f>
        <v>-34.061305244053798</v>
      </c>
      <c r="N48" s="9"/>
      <c r="O48" s="9">
        <f>+O32</f>
        <v>613.72689364702637</v>
      </c>
      <c r="P48" s="9"/>
      <c r="Q48" s="9">
        <f>+Q32</f>
        <v>1287.1548271784432</v>
      </c>
      <c r="R48" s="9"/>
      <c r="S48" s="9">
        <f>+S32</f>
        <v>1987.473482181867</v>
      </c>
      <c r="T48" s="9"/>
    </row>
    <row r="49" spans="1:22" x14ac:dyDescent="0.25">
      <c r="A49" s="1" t="s">
        <v>109</v>
      </c>
      <c r="E49" s="9">
        <f>E8*(E5+1)</f>
        <v>1200</v>
      </c>
      <c r="F49" s="9"/>
      <c r="G49" s="9">
        <f>G8*(G5+1)</f>
        <v>1224</v>
      </c>
      <c r="H49" s="9"/>
      <c r="I49" s="9">
        <f>I8*(I5+1)</f>
        <v>1248.48</v>
      </c>
      <c r="J49" s="9"/>
      <c r="K49" s="9">
        <f>K8*(K5+1)</f>
        <v>1273.4495999999999</v>
      </c>
      <c r="L49" s="9"/>
      <c r="M49" s="9">
        <f>M8*(M5+1)</f>
        <v>1298.918592</v>
      </c>
      <c r="N49" s="9"/>
      <c r="O49" s="9">
        <f>O8*(O5+1)</f>
        <v>1324.8969638399999</v>
      </c>
      <c r="P49" s="9"/>
      <c r="Q49" s="9">
        <f>Q8*(Q5+1)</f>
        <v>1351.3949031167999</v>
      </c>
      <c r="R49" s="9"/>
      <c r="S49" s="9">
        <f>S8*(S5+1)</f>
        <v>1378.4228011791358</v>
      </c>
      <c r="T49" s="9"/>
      <c r="V49" s="1" t="s">
        <v>111</v>
      </c>
    </row>
    <row r="50" spans="1:22" x14ac:dyDescent="0.25"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2" x14ac:dyDescent="0.25">
      <c r="A51" s="1" t="s">
        <v>32</v>
      </c>
      <c r="E51" s="9">
        <f>Mortgage!F13</f>
        <v>891703.49015264341</v>
      </c>
      <c r="F51" s="9"/>
      <c r="G51" s="9">
        <f>Mortgage!F27</f>
        <v>882762.90068440209</v>
      </c>
      <c r="H51" s="9"/>
      <c r="I51" s="9">
        <f>Mortgage!F41</f>
        <v>873128.23002043646</v>
      </c>
      <c r="J51" s="9"/>
      <c r="K51" s="9">
        <f>Mortgage!F55</f>
        <v>862745.59483370488</v>
      </c>
      <c r="L51" s="9"/>
      <c r="M51" s="9">
        <f>Mortgage!F69</f>
        <v>851556.92869445332</v>
      </c>
      <c r="N51" s="9"/>
      <c r="O51" s="9">
        <f>Mortgage!F83</f>
        <v>839499.6573250792</v>
      </c>
      <c r="P51" s="9"/>
      <c r="Q51" s="9">
        <f>Mortgage!F97</f>
        <v>826506.34864418826</v>
      </c>
      <c r="R51" s="9"/>
      <c r="S51" s="9">
        <f>Mortgage!F111</f>
        <v>812504.3356426612</v>
      </c>
      <c r="T51" s="9"/>
      <c r="V51" s="1" t="s">
        <v>4</v>
      </c>
    </row>
    <row r="52" spans="1:22" x14ac:dyDescent="0.25">
      <c r="A52" s="1" t="s">
        <v>33</v>
      </c>
      <c r="E52" s="9">
        <v>46399.93445501299</v>
      </c>
      <c r="F52" s="9"/>
      <c r="G52" s="9">
        <v>18475.920123480319</v>
      </c>
      <c r="H52" s="9"/>
      <c r="I52" s="9">
        <v>0</v>
      </c>
      <c r="J52" s="9"/>
      <c r="K52" s="9">
        <v>0</v>
      </c>
      <c r="L52" s="9"/>
      <c r="M52" s="9">
        <v>0</v>
      </c>
      <c r="N52" s="9"/>
      <c r="O52" s="9">
        <v>0</v>
      </c>
      <c r="P52" s="9"/>
      <c r="Q52" s="9">
        <v>0</v>
      </c>
      <c r="R52" s="9"/>
      <c r="S52" s="9">
        <v>0</v>
      </c>
      <c r="T52" s="9"/>
    </row>
    <row r="53" spans="1:22" x14ac:dyDescent="0.25"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2" x14ac:dyDescent="0.25">
      <c r="A54" s="1" t="s">
        <v>34</v>
      </c>
      <c r="E54" s="9">
        <v>50000</v>
      </c>
      <c r="F54" s="9"/>
      <c r="G54" s="9">
        <v>50000</v>
      </c>
      <c r="H54" s="9"/>
      <c r="I54" s="9">
        <v>50000</v>
      </c>
      <c r="J54" s="9"/>
      <c r="K54" s="9">
        <v>50000</v>
      </c>
      <c r="L54" s="9"/>
      <c r="M54" s="9">
        <v>50000</v>
      </c>
      <c r="N54" s="9"/>
      <c r="O54" s="9">
        <v>50000</v>
      </c>
      <c r="P54" s="9"/>
      <c r="Q54" s="9">
        <v>50000</v>
      </c>
      <c r="R54" s="9"/>
      <c r="S54" s="9">
        <v>50000</v>
      </c>
      <c r="T54" s="9"/>
    </row>
    <row r="55" spans="1:22" x14ac:dyDescent="0.25">
      <c r="A55" s="1" t="s">
        <v>35</v>
      </c>
      <c r="E55" s="9">
        <f>+E33</f>
        <v>-19655.15183274473</v>
      </c>
      <c r="F55" s="9"/>
      <c r="G55" s="9">
        <f>+G33+E55</f>
        <v>-33367.037898081893</v>
      </c>
      <c r="H55" s="9"/>
      <c r="I55" s="9">
        <f>+I33+G55</f>
        <v>-41749.546207816209</v>
      </c>
      <c r="J55" s="9"/>
      <c r="K55" s="9">
        <f>+K33+I55</f>
        <v>-46132.150356284932</v>
      </c>
      <c r="L55" s="9"/>
      <c r="M55" s="9">
        <f>+M33</f>
        <v>-227.07536829369201</v>
      </c>
      <c r="N55" s="9"/>
      <c r="O55" s="9">
        <f>+O33+M55</f>
        <v>3250.7103623727908</v>
      </c>
      <c r="P55" s="9"/>
      <c r="Q55" s="9">
        <f>+Q33+O55</f>
        <v>10544.587716383969</v>
      </c>
      <c r="R55" s="9"/>
      <c r="S55" s="9">
        <f>+S33+Q55</f>
        <v>21806.937448747882</v>
      </c>
      <c r="T55" s="9"/>
    </row>
    <row r="56" spans="1:22" x14ac:dyDescent="0.25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2" x14ac:dyDescent="0.25">
      <c r="A57" s="4" t="s">
        <v>36</v>
      </c>
      <c r="E57" s="32">
        <f>E48+E49+E51+E52+E54+E55</f>
        <v>966700</v>
      </c>
      <c r="F57" s="32"/>
      <c r="G57" s="32">
        <f>G48+G49+G51+G52+G54+G55</f>
        <v>917038.99999999988</v>
      </c>
      <c r="H57" s="32"/>
      <c r="I57" s="32">
        <f>I48+I49+I51+I52+I54+I55</f>
        <v>881369.78756616008</v>
      </c>
      <c r="J57" s="32"/>
      <c r="K57" s="32">
        <f>K48+K49+K51+K52+K54+K55</f>
        <v>867229.50345514959</v>
      </c>
      <c r="L57" s="32"/>
      <c r="M57" s="32">
        <f>M48+M49+M51+M52+M54+M55</f>
        <v>902594.71061291557</v>
      </c>
      <c r="N57" s="32"/>
      <c r="O57" s="32">
        <f>O48+O49+O51+O52+O54+O55</f>
        <v>894688.991544939</v>
      </c>
      <c r="P57" s="32"/>
      <c r="Q57" s="32">
        <f>Q48+Q49+Q51+Q52+Q54+Q55</f>
        <v>889689.48609086743</v>
      </c>
      <c r="R57" s="32"/>
      <c r="S57" s="32">
        <f>S48+S49+S51+S52+S54+S55</f>
        <v>887677.16937477014</v>
      </c>
      <c r="T57" s="9"/>
    </row>
    <row r="58" spans="1:22" x14ac:dyDescent="0.25"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</row>
    <row r="59" spans="1:22" x14ac:dyDescent="0.25">
      <c r="E59" s="56">
        <f>+E45-E57</f>
        <v>0</v>
      </c>
      <c r="F59" s="27"/>
      <c r="G59" s="56">
        <f>+G45-G57</f>
        <v>0</v>
      </c>
      <c r="H59" s="27"/>
      <c r="I59" s="56">
        <f>+I45-I57</f>
        <v>0</v>
      </c>
      <c r="J59" s="27"/>
      <c r="K59" s="56">
        <f>+K45-K57</f>
        <v>0</v>
      </c>
      <c r="L59" s="56"/>
      <c r="M59" s="56">
        <f>+M45-M57</f>
        <v>0</v>
      </c>
      <c r="N59" s="27"/>
      <c r="O59" s="56">
        <f>+O45-O57</f>
        <v>0</v>
      </c>
      <c r="P59" s="27"/>
      <c r="Q59" s="56">
        <f>+Q45-Q57</f>
        <v>0</v>
      </c>
      <c r="R59" s="27"/>
      <c r="S59" s="56">
        <f>+S45-S57</f>
        <v>0</v>
      </c>
    </row>
    <row r="60" spans="1:22" s="3" customFormat="1" x14ac:dyDescent="0.25"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</row>
    <row r="61" spans="1:22" x14ac:dyDescent="0.25">
      <c r="A61" s="12" t="s">
        <v>37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  <row r="62" spans="1:22" x14ac:dyDescent="0.25"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</row>
    <row r="63" spans="1:22" x14ac:dyDescent="0.25">
      <c r="A63" s="1" t="s">
        <v>38</v>
      </c>
      <c r="E63" s="74">
        <f>SUM(E38:E40)/SUM(E48:E49)</f>
        <v>-9.5522851122836805</v>
      </c>
      <c r="F63" s="74"/>
      <c r="G63" s="74">
        <f>SUM(G38:G40)/SUM(G48:G49)</f>
        <v>-20.46031420611201</v>
      </c>
      <c r="H63" s="74"/>
      <c r="I63" s="74">
        <f>SUM(I38:I40)/SUM(I48:I49)</f>
        <v>-3526.1823856486035</v>
      </c>
      <c r="J63" s="74"/>
      <c r="K63" s="74">
        <f>SUM(K38:K40)/SUM(K48:K49)</f>
        <v>109.12835602673113</v>
      </c>
      <c r="L63" s="74"/>
      <c r="M63" s="74">
        <f>SUM(M38:M40)/SUM(M48:M49)</f>
        <v>120.64184015912515</v>
      </c>
      <c r="N63" s="74"/>
      <c r="O63" s="74">
        <f>SUM(O38:O40)/SUM(O48:O49)</f>
        <v>100.42638792102137</v>
      </c>
      <c r="P63" s="74"/>
      <c r="Q63" s="74">
        <f>SUM(Q38:Q40)/SUM(Q48:Q49)</f>
        <v>90.841375221700744</v>
      </c>
      <c r="R63" s="74"/>
      <c r="S63" s="74">
        <f>SUM(S38:S40)/SUM(S48:S49)</f>
        <v>85.468221583913788</v>
      </c>
    </row>
    <row r="64" spans="1:22" x14ac:dyDescent="0.25">
      <c r="A64" s="1" t="s">
        <v>39</v>
      </c>
      <c r="E64" s="74">
        <f>SUM(E51:E52)/SUM(E54:E55)</f>
        <v>30.914750979705069</v>
      </c>
      <c r="F64" s="74"/>
      <c r="G64" s="74">
        <f>SUM(G51:G52)/SUM(G54:G55)</f>
        <v>54.183903942398317</v>
      </c>
      <c r="H64" s="74"/>
      <c r="I64" s="74">
        <f>SUM(I51:I52)/SUM(I54:I55)</f>
        <v>105.82790377513652</v>
      </c>
      <c r="J64" s="74"/>
      <c r="K64" s="74">
        <f>SUM(K51:K52)/SUM(K54:K55)</f>
        <v>223.05561857493458</v>
      </c>
      <c r="L64" s="74"/>
      <c r="M64" s="74">
        <f>SUM(M51:M52)/SUM(M54:M55)</f>
        <v>17.10883848991255</v>
      </c>
      <c r="N64" s="74"/>
      <c r="O64" s="74">
        <f>SUM(O51:O52)/SUM(O54:O55)</f>
        <v>15.765041472916646</v>
      </c>
      <c r="P64" s="74"/>
      <c r="Q64" s="74">
        <f>SUM(Q51:Q52)/SUM(Q54:Q55)</f>
        <v>13.651201202589533</v>
      </c>
      <c r="R64" s="74"/>
      <c r="S64" s="74">
        <f>SUM(S51:S52)/SUM(S54:S55)</f>
        <v>11.315123085740639</v>
      </c>
    </row>
    <row r="65" spans="1:19" x14ac:dyDescent="0.25">
      <c r="A65" s="1" t="s">
        <v>40</v>
      </c>
      <c r="E65" s="25">
        <f>E33/E45</f>
        <v>-2.0332214578198747E-2</v>
      </c>
      <c r="F65" s="27"/>
      <c r="G65" s="25">
        <f>G33/G45</f>
        <v>-1.4952347790374418E-2</v>
      </c>
      <c r="H65" s="27"/>
      <c r="I65" s="25">
        <f>I33/I45</f>
        <v>-9.5107733757042161E-3</v>
      </c>
      <c r="J65" s="27"/>
      <c r="K65" s="25">
        <f>K33/K45</f>
        <v>-5.0535690160538648E-3</v>
      </c>
      <c r="L65" s="25"/>
      <c r="M65" s="25">
        <f>M33/M45</f>
        <v>-2.5158065477637716E-4</v>
      </c>
      <c r="N65" s="27"/>
      <c r="O65" s="25">
        <f>O33/O45</f>
        <v>3.8871448777536444E-3</v>
      </c>
      <c r="P65" s="27"/>
      <c r="Q65" s="25">
        <f>Q33/Q45</f>
        <v>8.1982281099658005E-3</v>
      </c>
      <c r="R65" s="27"/>
      <c r="S65" s="25">
        <f>S33/S45</f>
        <v>1.2687438768191459E-2</v>
      </c>
    </row>
    <row r="66" spans="1:19" x14ac:dyDescent="0.25">
      <c r="A66" s="1" t="s">
        <v>41</v>
      </c>
      <c r="E66" s="25">
        <f>E33/SUM(E54:E55)</f>
        <v>-0.64772615517497789</v>
      </c>
      <c r="F66" s="25"/>
      <c r="G66" s="25">
        <f>G33/SUM(G54:G55)</f>
        <v>-0.82438028664515006</v>
      </c>
      <c r="H66" s="25"/>
      <c r="I66" s="25">
        <f>I33/SUM(I54:I55)</f>
        <v>-1.0160057277910737</v>
      </c>
      <c r="J66" s="25"/>
      <c r="K66" s="25">
        <f>K33/SUM(K54:K55)</f>
        <v>-1.1330854485489341</v>
      </c>
      <c r="L66" s="25"/>
      <c r="M66" s="25">
        <f>M33/SUM(M54:M55)</f>
        <v>-4.5622267522740798E-3</v>
      </c>
      <c r="N66" s="25"/>
      <c r="O66" s="25">
        <f>O33/SUM(O54:O55)</f>
        <v>6.5309658913468752E-2</v>
      </c>
      <c r="P66" s="25"/>
      <c r="Q66" s="25">
        <f>Q33/SUM(Q54:Q55)</f>
        <v>0.12047117057231826</v>
      </c>
      <c r="R66" s="25"/>
      <c r="S66" s="25">
        <f>S33/SUM(S54:S55)</f>
        <v>0.15684208424015303</v>
      </c>
    </row>
    <row r="67" spans="1:19" x14ac:dyDescent="0.25"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</row>
    <row r="68" spans="1:19" x14ac:dyDescent="0.25"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</row>
    <row r="69" spans="1:19" x14ac:dyDescent="0.25">
      <c r="A69" s="4" t="s">
        <v>113</v>
      </c>
      <c r="C69" s="1">
        <v>2019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</row>
    <row r="70" spans="1:19" x14ac:dyDescent="0.25"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</row>
    <row r="71" spans="1:19" x14ac:dyDescent="0.25">
      <c r="A71" s="12" t="s">
        <v>114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</row>
    <row r="72" spans="1:19" x14ac:dyDescent="0.25"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</row>
    <row r="73" spans="1:19" x14ac:dyDescent="0.25">
      <c r="B73" s="1" t="s">
        <v>115</v>
      </c>
      <c r="C73" s="25">
        <v>1.2E-2</v>
      </c>
      <c r="D73" s="25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</row>
    <row r="74" spans="1:19" x14ac:dyDescent="0.25">
      <c r="B74" s="1" t="s">
        <v>116</v>
      </c>
      <c r="C74" s="25">
        <v>9.0550000000000005E-2</v>
      </c>
      <c r="D74" s="25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</row>
    <row r="75" spans="1:19" x14ac:dyDescent="0.25">
      <c r="B75" s="1" t="s">
        <v>117</v>
      </c>
      <c r="C75" s="25">
        <f>C74-C73</f>
        <v>7.8550000000000009E-2</v>
      </c>
      <c r="D75" s="25"/>
      <c r="E75" s="27"/>
      <c r="F75" s="27" t="s">
        <v>118</v>
      </c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</row>
    <row r="76" spans="1:19" x14ac:dyDescent="0.25">
      <c r="C76" s="25"/>
      <c r="D76" s="25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</row>
    <row r="77" spans="1:19" x14ac:dyDescent="0.25">
      <c r="B77" s="1" t="s">
        <v>119</v>
      </c>
      <c r="C77" s="25">
        <f>C73+C94*C75</f>
        <v>9.3613450000000001E-2</v>
      </c>
      <c r="D77" s="25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</row>
    <row r="78" spans="1:19" x14ac:dyDescent="0.25">
      <c r="C78" s="5"/>
      <c r="D78" s="5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</row>
    <row r="79" spans="1:19" x14ac:dyDescent="0.25">
      <c r="A79" s="12" t="s">
        <v>120</v>
      </c>
      <c r="C79" s="5"/>
      <c r="D79" s="5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</row>
    <row r="80" spans="1:19" x14ac:dyDescent="0.25">
      <c r="A80" s="12"/>
      <c r="C80" s="5"/>
      <c r="D80" s="5"/>
      <c r="E80" s="27"/>
      <c r="F80" s="27" t="s">
        <v>121</v>
      </c>
      <c r="G80" s="27"/>
      <c r="H80" s="27" t="s">
        <v>122</v>
      </c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</row>
    <row r="81" spans="1:19" x14ac:dyDescent="0.25">
      <c r="A81" s="12"/>
      <c r="B81" s="1" t="s">
        <v>32</v>
      </c>
      <c r="C81" s="33">
        <f>S51</f>
        <v>812504.3356426612</v>
      </c>
      <c r="D81" s="33"/>
      <c r="E81" s="27"/>
      <c r="F81" s="80">
        <f>C81/C83</f>
        <v>1</v>
      </c>
      <c r="G81" s="27"/>
      <c r="H81" s="80">
        <f>Mortgage!H2</f>
        <v>7.4999999999999997E-2</v>
      </c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</row>
    <row r="82" spans="1:19" x14ac:dyDescent="0.25">
      <c r="A82" s="12"/>
      <c r="B82" s="1" t="s">
        <v>33</v>
      </c>
      <c r="C82" s="35">
        <f>S52</f>
        <v>0</v>
      </c>
      <c r="D82" s="62"/>
      <c r="E82" s="27"/>
      <c r="F82" s="80">
        <f>C82/C83</f>
        <v>0</v>
      </c>
      <c r="G82" s="27"/>
      <c r="H82" s="80">
        <v>0.08</v>
      </c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</row>
    <row r="83" spans="1:19" x14ac:dyDescent="0.25">
      <c r="A83" s="12"/>
      <c r="C83" s="33">
        <f>+SUM(C81:C82)</f>
        <v>812504.3356426612</v>
      </c>
      <c r="D83" s="33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</row>
    <row r="84" spans="1:19" x14ac:dyDescent="0.25">
      <c r="A84" s="12"/>
      <c r="C84" s="33"/>
      <c r="D84" s="33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</row>
    <row r="85" spans="1:19" x14ac:dyDescent="0.25">
      <c r="B85" s="1" t="s">
        <v>123</v>
      </c>
      <c r="C85" s="5">
        <f>F81*H81+F82*H82</f>
        <v>7.4999999999999997E-2</v>
      </c>
      <c r="D85" s="5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</row>
    <row r="86" spans="1:19" x14ac:dyDescent="0.25"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</row>
    <row r="87" spans="1:19" x14ac:dyDescent="0.25">
      <c r="A87" s="12" t="s">
        <v>124</v>
      </c>
      <c r="C87" s="49">
        <f>U32</f>
        <v>0.15</v>
      </c>
      <c r="D87" s="49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</row>
    <row r="88" spans="1:19" x14ac:dyDescent="0.25"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</row>
    <row r="89" spans="1:19" x14ac:dyDescent="0.25">
      <c r="A89" s="12" t="s">
        <v>125</v>
      </c>
      <c r="E89" s="27"/>
      <c r="F89" s="27" t="s">
        <v>121</v>
      </c>
      <c r="G89" s="27"/>
      <c r="H89" s="27" t="s">
        <v>122</v>
      </c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</row>
    <row r="90" spans="1:19" x14ac:dyDescent="0.25">
      <c r="B90" s="1" t="s">
        <v>126</v>
      </c>
      <c r="C90" s="11">
        <f>C83</f>
        <v>812504.3356426612</v>
      </c>
      <c r="D90" s="11"/>
      <c r="E90" s="27"/>
      <c r="F90" s="80">
        <f>C90/C92</f>
        <v>0.91879902514674217</v>
      </c>
      <c r="G90" s="27"/>
      <c r="H90" s="72">
        <f>C85</f>
        <v>7.4999999999999997E-2</v>
      </c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</row>
    <row r="91" spans="1:19" x14ac:dyDescent="0.25">
      <c r="B91" s="1" t="s">
        <v>127</v>
      </c>
      <c r="C91" s="36">
        <f>S54+S55</f>
        <v>71806.937448747878</v>
      </c>
      <c r="D91" s="55"/>
      <c r="E91" s="27"/>
      <c r="F91" s="80">
        <f>C91/C92</f>
        <v>8.1200974853257765E-2</v>
      </c>
      <c r="G91" s="27"/>
      <c r="H91" s="72">
        <f>C77</f>
        <v>9.3613450000000001E-2</v>
      </c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</row>
    <row r="92" spans="1:19" x14ac:dyDescent="0.25">
      <c r="C92" s="11">
        <f>SUM(C90:C91)</f>
        <v>884311.27309140912</v>
      </c>
      <c r="D92" s="11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</row>
    <row r="93" spans="1:19" x14ac:dyDescent="0.25"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</row>
    <row r="94" spans="1:19" x14ac:dyDescent="0.25">
      <c r="B94" s="37" t="s">
        <v>128</v>
      </c>
      <c r="C94" s="50">
        <v>1.0389999999999999</v>
      </c>
      <c r="D94" s="63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</row>
    <row r="95" spans="1:19" x14ac:dyDescent="0.25">
      <c r="B95" s="38" t="s">
        <v>129</v>
      </c>
      <c r="C95" s="39">
        <f>F90</f>
        <v>0.91879902514674217</v>
      </c>
      <c r="D95" s="64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</row>
    <row r="96" spans="1:19" x14ac:dyDescent="0.25">
      <c r="B96" s="40" t="s">
        <v>130</v>
      </c>
      <c r="C96" s="41">
        <f>F91</f>
        <v>8.1200974853257765E-2</v>
      </c>
      <c r="D96" s="64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</row>
    <row r="97" spans="1:19" x14ac:dyDescent="0.25">
      <c r="C97" s="42"/>
      <c r="D97" s="61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</row>
    <row r="98" spans="1:19" x14ac:dyDescent="0.25">
      <c r="A98" s="12" t="s">
        <v>131</v>
      </c>
      <c r="C98" s="47">
        <f>C95*H90*(1-C87)+C96*H91</f>
        <v>6.6174941252481509E-2</v>
      </c>
      <c r="D98" s="65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</row>
    <row r="99" spans="1:19" x14ac:dyDescent="0.25">
      <c r="A99" s="18"/>
      <c r="B99" s="18"/>
      <c r="C99" s="18"/>
      <c r="D99" s="18"/>
      <c r="E99" s="75"/>
      <c r="F99" s="75"/>
      <c r="G99" s="75"/>
      <c r="H99" s="75"/>
      <c r="I99" s="75"/>
      <c r="J99" s="27"/>
      <c r="K99" s="27"/>
      <c r="L99" s="27"/>
      <c r="M99" s="27"/>
      <c r="N99" s="27"/>
      <c r="O99" s="27"/>
      <c r="P99" s="27"/>
      <c r="Q99" s="27"/>
      <c r="R99" s="27"/>
      <c r="S99" s="27"/>
    </row>
    <row r="100" spans="1:19" x14ac:dyDescent="0.25">
      <c r="A100" s="12" t="s">
        <v>132</v>
      </c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</row>
    <row r="101" spans="1:19" x14ac:dyDescent="0.25"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</row>
    <row r="102" spans="1:19" x14ac:dyDescent="0.25">
      <c r="A102" s="12" t="s">
        <v>133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</row>
    <row r="103" spans="1:19" x14ac:dyDescent="0.25">
      <c r="B103" s="1" t="s">
        <v>134</v>
      </c>
      <c r="C103" s="48">
        <f>C94</f>
        <v>1.0389999999999999</v>
      </c>
      <c r="D103" s="48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</row>
    <row r="104" spans="1:19" x14ac:dyDescent="0.25">
      <c r="B104" s="1" t="s">
        <v>135</v>
      </c>
      <c r="C104" s="34">
        <f>C95</f>
        <v>0.91879902514674217</v>
      </c>
      <c r="D104" s="34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</row>
    <row r="105" spans="1:19" x14ac:dyDescent="0.25">
      <c r="B105" s="1" t="s">
        <v>136</v>
      </c>
      <c r="C105" s="34">
        <f>C96</f>
        <v>8.1200974853257765E-2</v>
      </c>
      <c r="D105" s="34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</row>
    <row r="106" spans="1:19" x14ac:dyDescent="0.25"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</row>
    <row r="107" spans="1:19" x14ac:dyDescent="0.25">
      <c r="B107" s="1" t="s">
        <v>137</v>
      </c>
      <c r="C107" s="43">
        <f>C103/(1+(1-C87)*(C104/C105))</f>
        <v>9.7854042732996555E-2</v>
      </c>
      <c r="D107" s="43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</row>
    <row r="108" spans="1:19" x14ac:dyDescent="0.25"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</row>
    <row r="109" spans="1:19" x14ac:dyDescent="0.25">
      <c r="B109" s="1" t="s">
        <v>138</v>
      </c>
      <c r="C109" s="49">
        <f>H111</f>
        <v>0.64067553000359323</v>
      </c>
      <c r="D109" s="49"/>
      <c r="E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</row>
    <row r="110" spans="1:19" x14ac:dyDescent="0.25">
      <c r="B110" s="1" t="s">
        <v>139</v>
      </c>
      <c r="C110" s="49">
        <f>H112</f>
        <v>0.35932446999640677</v>
      </c>
      <c r="D110" s="49"/>
      <c r="E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</row>
    <row r="111" spans="1:19" x14ac:dyDescent="0.25">
      <c r="F111" s="27">
        <v>1.7829999999999999</v>
      </c>
      <c r="G111" s="27">
        <f>F111*10000</f>
        <v>17830</v>
      </c>
      <c r="H111" s="57">
        <f>G111/G113</f>
        <v>0.64067553000359323</v>
      </c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</row>
    <row r="112" spans="1:19" x14ac:dyDescent="0.25">
      <c r="A112" s="12" t="s">
        <v>143</v>
      </c>
      <c r="C112" s="43">
        <f>C107*(1+(1-C87)*(C109/C110))</f>
        <v>0.24615673719698949</v>
      </c>
      <c r="D112" s="43"/>
      <c r="F112" s="27"/>
      <c r="G112" s="27">
        <f>G111/F111</f>
        <v>10000</v>
      </c>
      <c r="H112" s="57">
        <f>G112/G113</f>
        <v>0.35932446999640677</v>
      </c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</row>
    <row r="113" spans="1:19" x14ac:dyDescent="0.25">
      <c r="F113" s="27"/>
      <c r="G113" s="27">
        <f>SUM(G111:G112)</f>
        <v>27830</v>
      </c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</row>
    <row r="114" spans="1:19" x14ac:dyDescent="0.25">
      <c r="A114" s="12" t="s">
        <v>114</v>
      </c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</row>
    <row r="115" spans="1:19" x14ac:dyDescent="0.25"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</row>
    <row r="116" spans="1:19" x14ac:dyDescent="0.25">
      <c r="B116" s="1" t="s">
        <v>115</v>
      </c>
      <c r="C116" s="5">
        <v>1.2E-2</v>
      </c>
      <c r="D116" s="5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</row>
    <row r="117" spans="1:19" x14ac:dyDescent="0.25">
      <c r="B117" s="1" t="s">
        <v>116</v>
      </c>
      <c r="C117" s="5">
        <v>9.0550000000000005E-2</v>
      </c>
      <c r="D117" s="5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</row>
    <row r="118" spans="1:19" x14ac:dyDescent="0.25">
      <c r="B118" s="1" t="s">
        <v>117</v>
      </c>
      <c r="C118" s="5">
        <v>7.8550000000000009E-2</v>
      </c>
      <c r="D118" s="5"/>
      <c r="E118" s="27"/>
      <c r="F118" s="27" t="s">
        <v>118</v>
      </c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</row>
    <row r="119" spans="1:19" x14ac:dyDescent="0.25">
      <c r="C119" s="5"/>
      <c r="D119" s="5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</row>
    <row r="120" spans="1:19" x14ac:dyDescent="0.25">
      <c r="B120" s="27" t="s">
        <v>141</v>
      </c>
      <c r="C120" s="5">
        <f>C116+C112*C118</f>
        <v>3.133561170682353E-2</v>
      </c>
      <c r="D120" s="5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</row>
    <row r="121" spans="1:19" x14ac:dyDescent="0.25">
      <c r="C121" s="5"/>
      <c r="D121" s="5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</row>
    <row r="122" spans="1:19" x14ac:dyDescent="0.25">
      <c r="B122" s="37" t="s">
        <v>142</v>
      </c>
      <c r="C122" s="44">
        <f>C112</f>
        <v>0.24615673719698949</v>
      </c>
      <c r="D122" s="66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</row>
    <row r="123" spans="1:19" x14ac:dyDescent="0.25">
      <c r="B123" s="38" t="s">
        <v>140</v>
      </c>
      <c r="C123" s="45">
        <v>0.05</v>
      </c>
      <c r="D123" s="6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</row>
    <row r="124" spans="1:19" x14ac:dyDescent="0.25">
      <c r="B124" s="40" t="s">
        <v>130</v>
      </c>
      <c r="C124" s="46">
        <v>0.95</v>
      </c>
      <c r="D124" s="6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</row>
    <row r="125" spans="1:19" x14ac:dyDescent="0.25">
      <c r="C125" s="42"/>
      <c r="D125" s="61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</row>
    <row r="126" spans="1:19" x14ac:dyDescent="0.25">
      <c r="A126" s="12" t="s">
        <v>131</v>
      </c>
      <c r="C126" s="47">
        <f>C123*H90*(1-C87)+C124*C120</f>
        <v>3.295633112148235E-2</v>
      </c>
      <c r="D126" s="65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</row>
    <row r="127" spans="1:19" x14ac:dyDescent="0.25"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</row>
    <row r="128" spans="1:19" s="18" customFormat="1" x14ac:dyDescent="0.25"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</row>
    <row r="129" spans="1:23" x14ac:dyDescent="0.25">
      <c r="A129" s="12" t="s">
        <v>151</v>
      </c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</row>
    <row r="130" spans="1:23" x14ac:dyDescent="0.25"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</row>
    <row r="131" spans="1:23" x14ac:dyDescent="0.25">
      <c r="A131" s="12" t="s">
        <v>152</v>
      </c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</row>
    <row r="132" spans="1:23" x14ac:dyDescent="0.25">
      <c r="B132" s="1" t="s">
        <v>14</v>
      </c>
      <c r="E132" s="56">
        <f>E25</f>
        <v>101275.5</v>
      </c>
      <c r="F132" s="56"/>
      <c r="G132" s="56">
        <f>G25</f>
        <v>104340.765</v>
      </c>
      <c r="H132" s="56"/>
      <c r="I132" s="56">
        <f>I25</f>
        <v>107497.98795000001</v>
      </c>
      <c r="J132" s="56"/>
      <c r="K132" s="56">
        <f>K25</f>
        <v>110749.9275885</v>
      </c>
      <c r="L132" s="56">
        <f>L25</f>
        <v>0</v>
      </c>
      <c r="M132" s="56">
        <f>M25</f>
        <v>114099.42541615499</v>
      </c>
      <c r="N132" s="56">
        <f>N25</f>
        <v>0</v>
      </c>
      <c r="O132" s="56">
        <f>O25</f>
        <v>117549.40817863963</v>
      </c>
      <c r="P132" s="27"/>
      <c r="Q132" s="56">
        <f>Q25</f>
        <v>121102.89042399882</v>
      </c>
      <c r="R132" s="27"/>
      <c r="S132" s="56">
        <f>S25</f>
        <v>124762.97713671881</v>
      </c>
      <c r="U132" s="11"/>
    </row>
    <row r="133" spans="1:23" x14ac:dyDescent="0.25">
      <c r="B133" s="1" t="s">
        <v>153</v>
      </c>
      <c r="E133" s="76">
        <f>SUM(E27)</f>
        <v>50000</v>
      </c>
      <c r="F133" s="76"/>
      <c r="G133" s="76">
        <f>SUM(G27)</f>
        <v>50000</v>
      </c>
      <c r="H133" s="76"/>
      <c r="I133" s="76">
        <f t="shared" ref="I133:S133" si="0">SUM(I27)</f>
        <v>50000</v>
      </c>
      <c r="J133" s="76">
        <f t="shared" si="0"/>
        <v>0</v>
      </c>
      <c r="K133" s="76">
        <f t="shared" si="0"/>
        <v>50000</v>
      </c>
      <c r="L133" s="76">
        <f t="shared" si="0"/>
        <v>0</v>
      </c>
      <c r="M133" s="76">
        <f t="shared" si="0"/>
        <v>50000</v>
      </c>
      <c r="N133" s="76">
        <f t="shared" si="0"/>
        <v>0</v>
      </c>
      <c r="O133" s="76">
        <f t="shared" si="0"/>
        <v>50000</v>
      </c>
      <c r="P133" s="76">
        <f t="shared" si="0"/>
        <v>0</v>
      </c>
      <c r="Q133" s="76">
        <f t="shared" si="0"/>
        <v>50000</v>
      </c>
      <c r="R133" s="76">
        <f t="shared" si="0"/>
        <v>0</v>
      </c>
      <c r="S133" s="76">
        <f t="shared" si="0"/>
        <v>50000</v>
      </c>
    </row>
    <row r="134" spans="1:23" x14ac:dyDescent="0.25">
      <c r="B134" s="1" t="s">
        <v>154</v>
      </c>
      <c r="E134" s="56">
        <f>E132-E133</f>
        <v>51275.5</v>
      </c>
      <c r="F134" s="56"/>
      <c r="G134" s="56">
        <f>G132-G133</f>
        <v>54340.764999999999</v>
      </c>
      <c r="H134" s="56"/>
      <c r="I134" s="56">
        <f t="shared" ref="I134:S134" si="1">I132-I133</f>
        <v>57497.98795000001</v>
      </c>
      <c r="J134" s="56">
        <f t="shared" si="1"/>
        <v>0</v>
      </c>
      <c r="K134" s="56">
        <f t="shared" si="1"/>
        <v>60749.927588499995</v>
      </c>
      <c r="L134" s="56">
        <f t="shared" si="1"/>
        <v>0</v>
      </c>
      <c r="M134" s="56">
        <f t="shared" si="1"/>
        <v>64099.425416154991</v>
      </c>
      <c r="N134" s="56">
        <f t="shared" si="1"/>
        <v>0</v>
      </c>
      <c r="O134" s="56">
        <f t="shared" si="1"/>
        <v>67549.408178639627</v>
      </c>
      <c r="P134" s="56">
        <f t="shared" si="1"/>
        <v>0</v>
      </c>
      <c r="Q134" s="56">
        <f t="shared" si="1"/>
        <v>71102.890423998819</v>
      </c>
      <c r="R134" s="56">
        <f t="shared" si="1"/>
        <v>0</v>
      </c>
      <c r="S134" s="56">
        <f t="shared" si="1"/>
        <v>74762.977136718808</v>
      </c>
    </row>
    <row r="135" spans="1:23" x14ac:dyDescent="0.25">
      <c r="B135" s="1" t="s">
        <v>155</v>
      </c>
      <c r="E135" s="77">
        <f>E134*$U$32</f>
        <v>7691.3249999999998</v>
      </c>
      <c r="F135" s="77"/>
      <c r="G135" s="77">
        <f>G134*$U$32</f>
        <v>8151.1147499999997</v>
      </c>
      <c r="H135" s="77"/>
      <c r="I135" s="77">
        <f t="shared" ref="I135:S135" si="2">I134*$U$32</f>
        <v>8624.6981925000018</v>
      </c>
      <c r="J135" s="77">
        <f t="shared" si="2"/>
        <v>0</v>
      </c>
      <c r="K135" s="77">
        <f t="shared" si="2"/>
        <v>9112.4891382749993</v>
      </c>
      <c r="L135" s="77">
        <f t="shared" si="2"/>
        <v>0</v>
      </c>
      <c r="M135" s="77">
        <f t="shared" si="2"/>
        <v>9614.9138124232486</v>
      </c>
      <c r="N135" s="77">
        <f t="shared" si="2"/>
        <v>0</v>
      </c>
      <c r="O135" s="77">
        <f t="shared" si="2"/>
        <v>10132.411226795944</v>
      </c>
      <c r="P135" s="77">
        <f t="shared" si="2"/>
        <v>0</v>
      </c>
      <c r="Q135" s="77">
        <f t="shared" si="2"/>
        <v>10665.433563599823</v>
      </c>
      <c r="R135" s="77">
        <f t="shared" si="2"/>
        <v>0</v>
      </c>
      <c r="S135" s="77">
        <f t="shared" si="2"/>
        <v>11214.44657050782</v>
      </c>
    </row>
    <row r="136" spans="1:23" x14ac:dyDescent="0.25">
      <c r="B136" s="1" t="s">
        <v>156</v>
      </c>
      <c r="E136" s="76">
        <f>E133</f>
        <v>50000</v>
      </c>
      <c r="F136" s="76"/>
      <c r="G136" s="76">
        <f t="shared" ref="G136:S136" si="3">G133</f>
        <v>50000</v>
      </c>
      <c r="H136" s="76"/>
      <c r="I136" s="76">
        <f t="shared" si="3"/>
        <v>50000</v>
      </c>
      <c r="J136" s="76">
        <f t="shared" si="3"/>
        <v>0</v>
      </c>
      <c r="K136" s="76">
        <f t="shared" si="3"/>
        <v>50000</v>
      </c>
      <c r="L136" s="76">
        <f t="shared" si="3"/>
        <v>0</v>
      </c>
      <c r="M136" s="76">
        <f t="shared" si="3"/>
        <v>50000</v>
      </c>
      <c r="N136" s="76">
        <f t="shared" si="3"/>
        <v>0</v>
      </c>
      <c r="O136" s="76">
        <f t="shared" si="3"/>
        <v>50000</v>
      </c>
      <c r="P136" s="76">
        <f t="shared" si="3"/>
        <v>0</v>
      </c>
      <c r="Q136" s="76">
        <f t="shared" si="3"/>
        <v>50000</v>
      </c>
      <c r="R136" s="76">
        <f t="shared" si="3"/>
        <v>0</v>
      </c>
      <c r="S136" s="76">
        <f t="shared" si="3"/>
        <v>50000</v>
      </c>
    </row>
    <row r="137" spans="1:23" x14ac:dyDescent="0.25">
      <c r="A137" s="12" t="s">
        <v>157</v>
      </c>
      <c r="E137" s="56">
        <f>E134-E135+E136</f>
        <v>93584.175000000003</v>
      </c>
      <c r="F137" s="56"/>
      <c r="G137" s="56">
        <f t="shared" ref="G137:S137" si="4">G134-G135+G136</f>
        <v>96189.650250000006</v>
      </c>
      <c r="H137" s="56"/>
      <c r="I137" s="56">
        <f t="shared" si="4"/>
        <v>98873.28975750001</v>
      </c>
      <c r="J137" s="56">
        <f t="shared" si="4"/>
        <v>0</v>
      </c>
      <c r="K137" s="56">
        <f t="shared" si="4"/>
        <v>101637.43845022499</v>
      </c>
      <c r="L137" s="56">
        <f t="shared" si="4"/>
        <v>0</v>
      </c>
      <c r="M137" s="56">
        <f t="shared" si="4"/>
        <v>104484.51160373175</v>
      </c>
      <c r="N137" s="56">
        <f t="shared" si="4"/>
        <v>0</v>
      </c>
      <c r="O137" s="56">
        <f t="shared" si="4"/>
        <v>107416.99695184368</v>
      </c>
      <c r="P137" s="56">
        <f t="shared" si="4"/>
        <v>0</v>
      </c>
      <c r="Q137" s="56">
        <f t="shared" si="4"/>
        <v>110437.45686039899</v>
      </c>
      <c r="R137" s="56">
        <f t="shared" si="4"/>
        <v>0</v>
      </c>
      <c r="S137" s="56">
        <f t="shared" si="4"/>
        <v>113548.53056621099</v>
      </c>
    </row>
    <row r="138" spans="1:23" x14ac:dyDescent="0.25"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</row>
    <row r="139" spans="1:23" x14ac:dyDescent="0.25">
      <c r="A139" s="12" t="s">
        <v>158</v>
      </c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V139" s="27"/>
    </row>
    <row r="140" spans="1:23" x14ac:dyDescent="0.25">
      <c r="B140" s="1" t="s">
        <v>169</v>
      </c>
      <c r="C140" s="56">
        <f>-E42</f>
        <v>-1000000</v>
      </c>
      <c r="D140" s="56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</row>
    <row r="141" spans="1:23" x14ac:dyDescent="0.25">
      <c r="B141" s="1" t="s">
        <v>173</v>
      </c>
      <c r="C141" s="56"/>
      <c r="D141" s="56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56">
        <f>V141</f>
        <v>600000</v>
      </c>
      <c r="V141" s="11">
        <f>-C140-SUM(E27:S27)</f>
        <v>600000</v>
      </c>
      <c r="W141" s="1" t="s">
        <v>175</v>
      </c>
    </row>
    <row r="142" spans="1:23" x14ac:dyDescent="0.25">
      <c r="B142" s="1" t="s">
        <v>174</v>
      </c>
      <c r="C142" s="56"/>
      <c r="D142" s="56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V142" s="11" t="s">
        <v>176</v>
      </c>
      <c r="W142" s="21"/>
    </row>
    <row r="143" spans="1:23" x14ac:dyDescent="0.25"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78"/>
      <c r="V143" s="11"/>
    </row>
    <row r="144" spans="1:23" x14ac:dyDescent="0.25">
      <c r="A144" s="12" t="s">
        <v>159</v>
      </c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V144" s="70"/>
    </row>
    <row r="145" spans="1:20" x14ac:dyDescent="0.25">
      <c r="A145" s="58" t="s">
        <v>160</v>
      </c>
      <c r="B145" s="1" t="s">
        <v>161</v>
      </c>
      <c r="E145" s="29">
        <f>-(E38-C38)</f>
        <v>-5000</v>
      </c>
      <c r="F145" s="29"/>
      <c r="G145" s="29">
        <f>-(G38-E38)</f>
        <v>0</v>
      </c>
      <c r="H145" s="29"/>
      <c r="I145" s="29">
        <f t="shared" ref="I145:T145" si="5">-(I38-G38)</f>
        <v>-13981.857566160033</v>
      </c>
      <c r="J145" s="29">
        <f t="shared" si="5"/>
        <v>0</v>
      </c>
      <c r="K145" s="29">
        <f t="shared" si="5"/>
        <v>-35500.562788989759</v>
      </c>
      <c r="L145" s="29">
        <f t="shared" si="5"/>
        <v>0</v>
      </c>
      <c r="M145" s="29">
        <f t="shared" si="5"/>
        <v>-84995.5291607658</v>
      </c>
      <c r="N145" s="29">
        <f t="shared" si="5"/>
        <v>0</v>
      </c>
      <c r="O145" s="29">
        <f t="shared" si="5"/>
        <v>-41713.767285033362</v>
      </c>
      <c r="P145" s="29">
        <f t="shared" si="5"/>
        <v>0</v>
      </c>
      <c r="Q145" s="29">
        <f t="shared" si="5"/>
        <v>-44608.825273247203</v>
      </c>
      <c r="R145" s="29">
        <f t="shared" si="5"/>
        <v>0</v>
      </c>
      <c r="S145" s="29">
        <f t="shared" si="5"/>
        <v>-47584.528912433656</v>
      </c>
      <c r="T145" s="10">
        <f t="shared" si="5"/>
        <v>0</v>
      </c>
    </row>
    <row r="146" spans="1:20" x14ac:dyDescent="0.25">
      <c r="A146" s="58" t="s">
        <v>160</v>
      </c>
      <c r="B146" s="1" t="s">
        <v>170</v>
      </c>
      <c r="E146" s="29">
        <f>-(E39-C39)</f>
        <v>-10500</v>
      </c>
      <c r="F146" s="29"/>
      <c r="G146" s="29">
        <f>-(G39-E39)</f>
        <v>-315</v>
      </c>
      <c r="H146" s="29"/>
      <c r="I146" s="29">
        <f t="shared" ref="I146:S147" si="6">-(I39-G39)</f>
        <v>-324.45000000000073</v>
      </c>
      <c r="J146" s="29">
        <f t="shared" si="6"/>
        <v>0</v>
      </c>
      <c r="K146" s="29">
        <f t="shared" si="6"/>
        <v>-334.18349999999919</v>
      </c>
      <c r="L146" s="29">
        <f t="shared" si="6"/>
        <v>0</v>
      </c>
      <c r="M146" s="29">
        <f t="shared" si="6"/>
        <v>-344.20900500000062</v>
      </c>
      <c r="N146" s="29">
        <f t="shared" si="6"/>
        <v>0</v>
      </c>
      <c r="O146" s="29">
        <f t="shared" si="6"/>
        <v>-354.53527514999951</v>
      </c>
      <c r="P146" s="29">
        <f t="shared" si="6"/>
        <v>0</v>
      </c>
      <c r="Q146" s="29">
        <f t="shared" si="6"/>
        <v>-365.17133340449982</v>
      </c>
      <c r="R146" s="29">
        <f t="shared" si="6"/>
        <v>0</v>
      </c>
      <c r="S146" s="29">
        <f t="shared" si="6"/>
        <v>-376.12647340663534</v>
      </c>
    </row>
    <row r="147" spans="1:20" x14ac:dyDescent="0.25">
      <c r="A147" s="58" t="s">
        <v>160</v>
      </c>
      <c r="B147" s="1" t="s">
        <v>171</v>
      </c>
      <c r="E147" s="29">
        <f>-(E40-C40)</f>
        <v>-1200</v>
      </c>
      <c r="F147" s="29"/>
      <c r="G147" s="29">
        <f>-(G40-E40)</f>
        <v>-24</v>
      </c>
      <c r="H147" s="29"/>
      <c r="I147" s="29">
        <f t="shared" si="6"/>
        <v>-24.480000000000018</v>
      </c>
      <c r="J147" s="29">
        <f t="shared" si="6"/>
        <v>0</v>
      </c>
      <c r="K147" s="29">
        <f t="shared" si="6"/>
        <v>-24.9695999999999</v>
      </c>
      <c r="L147" s="29">
        <f t="shared" si="6"/>
        <v>0</v>
      </c>
      <c r="M147" s="29">
        <f t="shared" si="6"/>
        <v>-25.468992000000071</v>
      </c>
      <c r="N147" s="29">
        <f t="shared" si="6"/>
        <v>0</v>
      </c>
      <c r="O147" s="29">
        <f t="shared" si="6"/>
        <v>-25.978371839999909</v>
      </c>
      <c r="P147" s="29">
        <f t="shared" si="6"/>
        <v>0</v>
      </c>
      <c r="Q147" s="29">
        <f t="shared" si="6"/>
        <v>-26.497939276800025</v>
      </c>
      <c r="R147" s="29">
        <f t="shared" si="6"/>
        <v>0</v>
      </c>
      <c r="S147" s="29">
        <f t="shared" si="6"/>
        <v>-27.027898062335908</v>
      </c>
    </row>
    <row r="148" spans="1:20" x14ac:dyDescent="0.25"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</row>
    <row r="149" spans="1:20" x14ac:dyDescent="0.25">
      <c r="A149" s="58" t="s">
        <v>162</v>
      </c>
      <c r="B149" s="1" t="s">
        <v>172</v>
      </c>
      <c r="E149" s="56">
        <f>(E49-C49)</f>
        <v>1200</v>
      </c>
      <c r="F149" s="56"/>
      <c r="G149" s="56">
        <f>(G49-E49)</f>
        <v>24</v>
      </c>
      <c r="H149" s="56"/>
      <c r="I149" s="56">
        <f t="shared" ref="I149:S149" si="7">(I49-G49)</f>
        <v>24.480000000000018</v>
      </c>
      <c r="J149" s="56">
        <f t="shared" si="7"/>
        <v>0</v>
      </c>
      <c r="K149" s="56">
        <f t="shared" si="7"/>
        <v>24.9695999999999</v>
      </c>
      <c r="L149" s="56">
        <f t="shared" si="7"/>
        <v>0</v>
      </c>
      <c r="M149" s="56">
        <f t="shared" si="7"/>
        <v>25.468992000000071</v>
      </c>
      <c r="N149" s="56">
        <f t="shared" si="7"/>
        <v>0</v>
      </c>
      <c r="O149" s="56">
        <f t="shared" si="7"/>
        <v>25.978371839999909</v>
      </c>
      <c r="P149" s="56">
        <f t="shared" si="7"/>
        <v>0</v>
      </c>
      <c r="Q149" s="56">
        <f t="shared" si="7"/>
        <v>26.497939276800025</v>
      </c>
      <c r="R149" s="56">
        <f t="shared" si="7"/>
        <v>0</v>
      </c>
      <c r="S149" s="56">
        <f t="shared" si="7"/>
        <v>27.027898062335908</v>
      </c>
    </row>
    <row r="150" spans="1:20" x14ac:dyDescent="0.25">
      <c r="A150" s="58" t="s">
        <v>162</v>
      </c>
      <c r="B150" s="1" t="s">
        <v>31</v>
      </c>
      <c r="E150" s="56">
        <f>(E135-C135)</f>
        <v>7691.3249999999998</v>
      </c>
      <c r="F150" s="56"/>
      <c r="G150" s="56">
        <f>(G135-E135)</f>
        <v>459.78974999999991</v>
      </c>
      <c r="H150" s="56"/>
      <c r="I150" s="56">
        <f t="shared" ref="I150:S150" si="8">(I135-G135)</f>
        <v>473.58344250000209</v>
      </c>
      <c r="J150" s="56">
        <f t="shared" si="8"/>
        <v>0</v>
      </c>
      <c r="K150" s="56">
        <f t="shared" si="8"/>
        <v>487.79094577499745</v>
      </c>
      <c r="L150" s="56">
        <f t="shared" si="8"/>
        <v>0</v>
      </c>
      <c r="M150" s="56">
        <f t="shared" si="8"/>
        <v>502.42467414824932</v>
      </c>
      <c r="N150" s="56">
        <f t="shared" si="8"/>
        <v>0</v>
      </c>
      <c r="O150" s="56">
        <f t="shared" si="8"/>
        <v>517.49741437269586</v>
      </c>
      <c r="P150" s="56">
        <f t="shared" si="8"/>
        <v>0</v>
      </c>
      <c r="Q150" s="56">
        <f t="shared" si="8"/>
        <v>533.02233680387872</v>
      </c>
      <c r="R150" s="56">
        <f t="shared" si="8"/>
        <v>0</v>
      </c>
      <c r="S150" s="56">
        <f t="shared" si="8"/>
        <v>549.0130069079969</v>
      </c>
    </row>
    <row r="151" spans="1:20" x14ac:dyDescent="0.25"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</row>
    <row r="152" spans="1:20" x14ac:dyDescent="0.25">
      <c r="A152" s="12" t="s">
        <v>163</v>
      </c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</row>
    <row r="153" spans="1:20" x14ac:dyDescent="0.25">
      <c r="B153" s="1" t="s">
        <v>161</v>
      </c>
      <c r="E153" s="27"/>
      <c r="F153" s="27"/>
      <c r="G153" s="27"/>
      <c r="H153" s="27"/>
      <c r="I153" s="27"/>
      <c r="J153" s="56"/>
      <c r="K153" s="27"/>
      <c r="L153" s="27"/>
      <c r="M153" s="27"/>
      <c r="N153" s="27"/>
      <c r="O153" s="27"/>
      <c r="P153" s="27"/>
      <c r="Q153" s="27"/>
      <c r="R153" s="27"/>
      <c r="S153" s="56">
        <f>S38</f>
        <v>273385.07098662981</v>
      </c>
    </row>
    <row r="154" spans="1:20" x14ac:dyDescent="0.25">
      <c r="B154" s="1" t="s">
        <v>170</v>
      </c>
      <c r="E154" s="27"/>
      <c r="F154" s="27"/>
      <c r="G154" s="27"/>
      <c r="H154" s="27"/>
      <c r="I154" s="27"/>
      <c r="J154" s="56"/>
      <c r="K154" s="27"/>
      <c r="L154" s="27"/>
      <c r="M154" s="27"/>
      <c r="N154" s="27"/>
      <c r="O154" s="27"/>
      <c r="P154" s="27"/>
      <c r="Q154" s="27"/>
      <c r="R154" s="27"/>
      <c r="S154" s="56">
        <f>S39</f>
        <v>12913.675586961135</v>
      </c>
    </row>
    <row r="155" spans="1:20" x14ac:dyDescent="0.25">
      <c r="B155" s="1" t="s">
        <v>171</v>
      </c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56">
        <f>S40</f>
        <v>1378.4228011791358</v>
      </c>
    </row>
    <row r="156" spans="1:20" x14ac:dyDescent="0.25"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</row>
    <row r="157" spans="1:20" x14ac:dyDescent="0.25">
      <c r="B157" s="1" t="s">
        <v>172</v>
      </c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56">
        <f>-S49</f>
        <v>-1378.4228011791358</v>
      </c>
    </row>
    <row r="158" spans="1:20" x14ac:dyDescent="0.25">
      <c r="B158" s="1" t="s">
        <v>31</v>
      </c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56">
        <f>-S135</f>
        <v>-11214.44657050782</v>
      </c>
    </row>
    <row r="159" spans="1:20" x14ac:dyDescent="0.25"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</row>
    <row r="160" spans="1:20" x14ac:dyDescent="0.25">
      <c r="A160" s="12" t="s">
        <v>164</v>
      </c>
      <c r="C160" s="10">
        <f>SUM(C137:C159)</f>
        <v>-1000000</v>
      </c>
      <c r="D160" s="10"/>
      <c r="E160" s="29">
        <f>SUM(E137:E159)</f>
        <v>85775.5</v>
      </c>
      <c r="F160" s="29"/>
      <c r="G160" s="29">
        <f>SUM(G137:G159)</f>
        <v>96334.44</v>
      </c>
      <c r="H160" s="29"/>
      <c r="I160" s="29">
        <f t="shared" ref="I160:S160" si="9">SUM(I137:I159)</f>
        <v>85040.565633839986</v>
      </c>
      <c r="J160" s="29">
        <f t="shared" si="9"/>
        <v>0</v>
      </c>
      <c r="K160" s="29">
        <f t="shared" si="9"/>
        <v>66290.483107010223</v>
      </c>
      <c r="L160" s="29">
        <f t="shared" si="9"/>
        <v>0</v>
      </c>
      <c r="M160" s="29">
        <f t="shared" si="9"/>
        <v>19647.198112114202</v>
      </c>
      <c r="N160" s="29">
        <f t="shared" si="9"/>
        <v>0</v>
      </c>
      <c r="O160" s="29">
        <f t="shared" si="9"/>
        <v>65866.191806033021</v>
      </c>
      <c r="P160" s="29">
        <f t="shared" si="9"/>
        <v>0</v>
      </c>
      <c r="Q160" s="29">
        <f t="shared" si="9"/>
        <v>65996.482590551168</v>
      </c>
      <c r="R160" s="29">
        <f t="shared" si="9"/>
        <v>0</v>
      </c>
      <c r="S160" s="29">
        <f t="shared" si="9"/>
        <v>941221.18819036172</v>
      </c>
    </row>
    <row r="161" spans="1:19" x14ac:dyDescent="0.25">
      <c r="C161" s="1">
        <v>0</v>
      </c>
      <c r="E161" s="27">
        <v>1</v>
      </c>
      <c r="F161" s="27"/>
      <c r="G161" s="27">
        <v>2</v>
      </c>
      <c r="H161" s="27"/>
      <c r="I161" s="27">
        <v>3</v>
      </c>
      <c r="J161" s="27"/>
      <c r="K161" s="27">
        <v>4</v>
      </c>
      <c r="L161" s="27"/>
      <c r="M161" s="27">
        <v>5</v>
      </c>
      <c r="N161" s="27"/>
      <c r="O161" s="27">
        <v>6</v>
      </c>
      <c r="P161" s="27"/>
      <c r="Q161" s="27">
        <v>7</v>
      </c>
      <c r="R161" s="27"/>
      <c r="S161" s="27">
        <v>8</v>
      </c>
    </row>
    <row r="162" spans="1:19" x14ac:dyDescent="0.25">
      <c r="A162" s="1" t="s">
        <v>165</v>
      </c>
      <c r="C162" s="59">
        <f>PV($C$163,C161,,-C160)</f>
        <v>-1000000</v>
      </c>
      <c r="D162" s="59"/>
      <c r="E162" s="79">
        <f>PV($C$163,E161,,-E160)</f>
        <v>83038.844349667124</v>
      </c>
      <c r="F162" s="79"/>
      <c r="G162" s="79">
        <f>PV($C$163,G161,,-G160)</f>
        <v>90285.426398587064</v>
      </c>
      <c r="H162" s="79"/>
      <c r="I162" s="79">
        <f>PV($C$163,I161,,-I160)</f>
        <v>77157.874360256843</v>
      </c>
      <c r="J162" s="79">
        <f>PV($C$163,J161,,-J160)</f>
        <v>0</v>
      </c>
      <c r="K162" s="79">
        <f>PV($C$163,K161,,-K160)</f>
        <v>58226.855464017674</v>
      </c>
      <c r="L162" s="79"/>
      <c r="M162" s="79">
        <f t="shared" ref="M162:S162" si="10">PV($C$163,M161,,-M160)</f>
        <v>16706.705427236764</v>
      </c>
      <c r="N162" s="79">
        <f t="shared" si="10"/>
        <v>0</v>
      </c>
      <c r="O162" s="79">
        <f t="shared" si="10"/>
        <v>54221.407065937143</v>
      </c>
      <c r="P162" s="79">
        <f t="shared" si="10"/>
        <v>0</v>
      </c>
      <c r="Q162" s="79">
        <f t="shared" si="10"/>
        <v>52595.314546235793</v>
      </c>
      <c r="R162" s="79">
        <f t="shared" si="10"/>
        <v>0</v>
      </c>
      <c r="S162" s="79">
        <f t="shared" si="10"/>
        <v>726166.14991380821</v>
      </c>
    </row>
    <row r="163" spans="1:19" x14ac:dyDescent="0.25">
      <c r="A163" s="1" t="s">
        <v>166</v>
      </c>
      <c r="C163" s="25">
        <f>C126</f>
        <v>3.295633112148235E-2</v>
      </c>
      <c r="D163" s="25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</row>
    <row r="164" spans="1:19" x14ac:dyDescent="0.25"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</row>
    <row r="165" spans="1:19" x14ac:dyDescent="0.25">
      <c r="A165" s="37" t="s">
        <v>167</v>
      </c>
      <c r="B165" s="60"/>
      <c r="C165" s="81">
        <f>SUM(C162:S162)</f>
        <v>158398.57752574666</v>
      </c>
      <c r="D165" s="68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</row>
    <row r="166" spans="1:19" x14ac:dyDescent="0.25">
      <c r="A166" s="40" t="s">
        <v>168</v>
      </c>
      <c r="B166" s="18"/>
      <c r="C166" s="82">
        <f>IRR(C160:T160)</f>
        <v>3.674991793449367E-2</v>
      </c>
      <c r="D166" s="69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</row>
    <row r="167" spans="1:19" x14ac:dyDescent="0.25"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</row>
    <row r="168" spans="1:19" x14ac:dyDescent="0.25"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</row>
  </sheetData>
  <sheetProtection selectLockedCells="1" selectUnlockedCells="1"/>
  <pageMargins left="0.7" right="0.7" top="0.75" bottom="0.75" header="0.51180555555555551" footer="0.51180555555555551"/>
  <pageSetup scale="58" firstPageNumber="0" fitToHeight="0" orientation="landscape" horizontalDpi="300" verticalDpi="300" r:id="rId1"/>
  <headerFooter alignWithMargins="0"/>
  <rowBreaks count="3" manualBreakCount="3">
    <brk id="34" max="22" man="1"/>
    <brk id="67" max="22" man="1"/>
    <brk id="128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zoomScale="80" zoomScaleNormal="80" workbookViewId="0">
      <selection activeCell="H2" sqref="H2"/>
    </sheetView>
  </sheetViews>
  <sheetFormatPr defaultColWidth="11.5703125" defaultRowHeight="12.75" x14ac:dyDescent="0.2"/>
  <cols>
    <col min="1" max="1" width="30.140625" customWidth="1"/>
    <col min="2" max="3" width="12.7109375" customWidth="1"/>
    <col min="4" max="4" width="12.85546875" customWidth="1"/>
    <col min="5" max="5" width="13.5703125" customWidth="1"/>
    <col min="6" max="6" width="12.42578125" customWidth="1"/>
  </cols>
  <sheetData>
    <row r="1" spans="1:8" x14ac:dyDescent="0.2">
      <c r="B1" t="s">
        <v>42</v>
      </c>
      <c r="C1" t="s">
        <v>43</v>
      </c>
      <c r="D1" t="s">
        <v>44</v>
      </c>
      <c r="E1" t="s">
        <v>45</v>
      </c>
      <c r="F1" t="s">
        <v>46</v>
      </c>
      <c r="H1" t="s">
        <v>102</v>
      </c>
    </row>
    <row r="2" spans="1:8" x14ac:dyDescent="0.2">
      <c r="A2" s="13" t="s">
        <v>47</v>
      </c>
      <c r="B2" s="20">
        <v>900000</v>
      </c>
      <c r="C2" s="14">
        <f t="shared" ref="C2:C13" si="0">+E2-D2</f>
        <v>667.93057697501263</v>
      </c>
      <c r="D2" s="14">
        <f>+B2*$H$2/12</f>
        <v>5625</v>
      </c>
      <c r="E2" s="20">
        <f>H4</f>
        <v>6292.9305769750126</v>
      </c>
      <c r="F2" s="14">
        <f t="shared" ref="F2:F13" si="1">+B2-C2</f>
        <v>899332.06942302501</v>
      </c>
      <c r="H2" s="22">
        <v>7.4999999999999997E-2</v>
      </c>
    </row>
    <row r="3" spans="1:8" x14ac:dyDescent="0.2">
      <c r="A3" s="13" t="s">
        <v>48</v>
      </c>
      <c r="B3" s="14">
        <f t="shared" ref="B3:B13" si="2">+F2</f>
        <v>899332.06942302501</v>
      </c>
      <c r="C3" s="14">
        <f t="shared" si="0"/>
        <v>672.10514308110578</v>
      </c>
      <c r="D3" s="14">
        <f t="shared" ref="D3:D13" si="3">+B3*$H$2/12</f>
        <v>5620.8254338939068</v>
      </c>
      <c r="E3" s="14">
        <f>$E$2</f>
        <v>6292.9305769750126</v>
      </c>
      <c r="F3" s="14">
        <f t="shared" si="1"/>
        <v>898659.96427994384</v>
      </c>
      <c r="H3" t="s">
        <v>107</v>
      </c>
    </row>
    <row r="4" spans="1:8" x14ac:dyDescent="0.2">
      <c r="A4" s="13" t="s">
        <v>49</v>
      </c>
      <c r="B4" s="14">
        <f t="shared" si="2"/>
        <v>898659.96427994384</v>
      </c>
      <c r="C4" s="14">
        <f t="shared" si="0"/>
        <v>676.30580022536378</v>
      </c>
      <c r="D4" s="14">
        <f t="shared" si="3"/>
        <v>5616.6247767496488</v>
      </c>
      <c r="E4" s="14">
        <f t="shared" ref="E4:E13" si="4">$E$2</f>
        <v>6292.9305769750126</v>
      </c>
      <c r="F4" s="14">
        <f t="shared" si="1"/>
        <v>897983.65847971849</v>
      </c>
      <c r="H4" s="23">
        <f>PMT(H2/12, H6*12, -B2, 0, 0)</f>
        <v>6292.9305769750126</v>
      </c>
    </row>
    <row r="5" spans="1:8" x14ac:dyDescent="0.2">
      <c r="A5" s="13" t="s">
        <v>50</v>
      </c>
      <c r="B5" s="14">
        <f t="shared" si="2"/>
        <v>897983.65847971849</v>
      </c>
      <c r="C5" s="14">
        <f t="shared" si="0"/>
        <v>680.53271147677151</v>
      </c>
      <c r="D5" s="14">
        <f t="shared" si="3"/>
        <v>5612.3978654982411</v>
      </c>
      <c r="E5" s="14">
        <f t="shared" si="4"/>
        <v>6292.9305769750126</v>
      </c>
      <c r="F5" s="14">
        <f t="shared" si="1"/>
        <v>897303.12576824171</v>
      </c>
      <c r="H5" t="s">
        <v>108</v>
      </c>
    </row>
    <row r="6" spans="1:8" x14ac:dyDescent="0.2">
      <c r="A6" s="13" t="s">
        <v>51</v>
      </c>
      <c r="B6" s="14">
        <f t="shared" si="2"/>
        <v>897303.12576824171</v>
      </c>
      <c r="C6" s="14">
        <f t="shared" si="0"/>
        <v>684.7860409235027</v>
      </c>
      <c r="D6" s="14">
        <f t="shared" si="3"/>
        <v>5608.1445360515099</v>
      </c>
      <c r="E6" s="14">
        <f t="shared" si="4"/>
        <v>6292.9305769750126</v>
      </c>
      <c r="F6" s="14">
        <f t="shared" si="1"/>
        <v>896618.33972731815</v>
      </c>
      <c r="H6" s="26">
        <v>30</v>
      </c>
    </row>
    <row r="7" spans="1:8" x14ac:dyDescent="0.2">
      <c r="A7" s="13" t="s">
        <v>52</v>
      </c>
      <c r="B7" s="14">
        <f t="shared" si="2"/>
        <v>896618.33972731815</v>
      </c>
      <c r="C7" s="14">
        <f t="shared" si="0"/>
        <v>689.06595367927366</v>
      </c>
      <c r="D7" s="14">
        <f t="shared" si="3"/>
        <v>5603.864623295739</v>
      </c>
      <c r="E7" s="14">
        <f t="shared" si="4"/>
        <v>6292.9305769750126</v>
      </c>
      <c r="F7" s="14">
        <f t="shared" si="1"/>
        <v>895929.27377363888</v>
      </c>
    </row>
    <row r="8" spans="1:8" x14ac:dyDescent="0.2">
      <c r="A8" s="13" t="s">
        <v>53</v>
      </c>
      <c r="B8" s="14">
        <f t="shared" si="2"/>
        <v>895929.27377363888</v>
      </c>
      <c r="C8" s="14">
        <f t="shared" si="0"/>
        <v>693.3726158897698</v>
      </c>
      <c r="D8" s="14">
        <f t="shared" si="3"/>
        <v>5599.5579610852428</v>
      </c>
      <c r="E8" s="14">
        <f t="shared" si="4"/>
        <v>6292.9305769750126</v>
      </c>
      <c r="F8" s="14">
        <f t="shared" si="1"/>
        <v>895235.90115774912</v>
      </c>
    </row>
    <row r="9" spans="1:8" x14ac:dyDescent="0.2">
      <c r="A9" s="13" t="s">
        <v>54</v>
      </c>
      <c r="B9" s="14">
        <f t="shared" si="2"/>
        <v>895235.90115774912</v>
      </c>
      <c r="C9" s="14">
        <f t="shared" si="0"/>
        <v>697.70619473908118</v>
      </c>
      <c r="D9" s="14">
        <f t="shared" si="3"/>
        <v>5595.2243822359314</v>
      </c>
      <c r="E9" s="14">
        <f t="shared" si="4"/>
        <v>6292.9305769750126</v>
      </c>
      <c r="F9" s="14">
        <f t="shared" si="1"/>
        <v>894538.19496301003</v>
      </c>
    </row>
    <row r="10" spans="1:8" x14ac:dyDescent="0.2">
      <c r="A10" s="13" t="s">
        <v>55</v>
      </c>
      <c r="B10" s="14">
        <f t="shared" si="2"/>
        <v>894538.19496301003</v>
      </c>
      <c r="C10" s="14">
        <f t="shared" si="0"/>
        <v>702.06685845619995</v>
      </c>
      <c r="D10" s="14">
        <f t="shared" si="3"/>
        <v>5590.8637185188127</v>
      </c>
      <c r="E10" s="14">
        <f t="shared" si="4"/>
        <v>6292.9305769750126</v>
      </c>
      <c r="F10" s="14">
        <f t="shared" si="1"/>
        <v>893836.12810455379</v>
      </c>
    </row>
    <row r="11" spans="1:8" x14ac:dyDescent="0.2">
      <c r="A11" s="13" t="s">
        <v>56</v>
      </c>
      <c r="B11" s="14">
        <f t="shared" si="2"/>
        <v>893836.12810455379</v>
      </c>
      <c r="C11" s="14">
        <f t="shared" si="0"/>
        <v>706.45477632155144</v>
      </c>
      <c r="D11" s="14">
        <f t="shared" si="3"/>
        <v>5586.4758006534612</v>
      </c>
      <c r="E11" s="14">
        <f t="shared" si="4"/>
        <v>6292.9305769750126</v>
      </c>
      <c r="F11" s="14">
        <f t="shared" si="1"/>
        <v>893129.67332823225</v>
      </c>
    </row>
    <row r="12" spans="1:8" x14ac:dyDescent="0.2">
      <c r="A12" s="13" t="s">
        <v>57</v>
      </c>
      <c r="B12" s="14">
        <f t="shared" si="2"/>
        <v>893129.67332823225</v>
      </c>
      <c r="C12" s="14">
        <f t="shared" si="0"/>
        <v>710.87011867356159</v>
      </c>
      <c r="D12" s="14">
        <f t="shared" si="3"/>
        <v>5582.060458301451</v>
      </c>
      <c r="E12" s="14">
        <f t="shared" si="4"/>
        <v>6292.9305769750126</v>
      </c>
      <c r="F12" s="14">
        <f t="shared" si="1"/>
        <v>892418.80320955871</v>
      </c>
    </row>
    <row r="13" spans="1:8" x14ac:dyDescent="0.2">
      <c r="A13" s="13" t="s">
        <v>58</v>
      </c>
      <c r="B13" s="14">
        <f t="shared" si="2"/>
        <v>892418.80320955871</v>
      </c>
      <c r="C13" s="14">
        <f t="shared" si="0"/>
        <v>715.31305691527086</v>
      </c>
      <c r="D13" s="14">
        <f t="shared" si="3"/>
        <v>5577.6175200597418</v>
      </c>
      <c r="E13" s="14">
        <f t="shared" si="4"/>
        <v>6292.9305769750126</v>
      </c>
      <c r="F13" s="15">
        <f t="shared" si="1"/>
        <v>891703.49015264341</v>
      </c>
    </row>
    <row r="14" spans="1:8" x14ac:dyDescent="0.2">
      <c r="A14" s="16" t="s">
        <v>59</v>
      </c>
      <c r="B14" s="16"/>
      <c r="C14" s="15">
        <f>SUM(C2:C13)</f>
        <v>8296.5098473564649</v>
      </c>
      <c r="D14" s="15">
        <f>SUM(D2:D13)</f>
        <v>67218.65707634369</v>
      </c>
      <c r="E14" s="14"/>
      <c r="F14" s="14"/>
    </row>
    <row r="15" spans="1:8" x14ac:dyDescent="0.2">
      <c r="A15" s="13"/>
      <c r="B15" s="13"/>
      <c r="C15" s="14"/>
      <c r="D15" s="14"/>
      <c r="E15" s="14"/>
      <c r="F15" s="14"/>
    </row>
    <row r="16" spans="1:8" x14ac:dyDescent="0.2">
      <c r="A16" s="13" t="s">
        <v>60</v>
      </c>
      <c r="B16" s="14">
        <f>+F13</f>
        <v>891703.49015264341</v>
      </c>
      <c r="C16" s="14">
        <f t="shared" ref="C16:C27" si="5">+E16-D16</f>
        <v>719.78376352099076</v>
      </c>
      <c r="D16" s="14">
        <f t="shared" ref="D16:D27" si="6">+B16*$H$2/12</f>
        <v>5573.1468134540219</v>
      </c>
      <c r="E16" s="14">
        <f t="shared" ref="E16:E27" si="7">$E$2</f>
        <v>6292.9305769750126</v>
      </c>
      <c r="F16" s="14">
        <f t="shared" ref="F16:F27" si="8">+B16-C16</f>
        <v>890983.70638912241</v>
      </c>
    </row>
    <row r="17" spans="1:6" x14ac:dyDescent="0.2">
      <c r="A17" s="13" t="s">
        <v>61</v>
      </c>
      <c r="B17" s="14">
        <f t="shared" ref="B17:B27" si="9">+F16</f>
        <v>890983.70638912241</v>
      </c>
      <c r="C17" s="14">
        <f t="shared" si="5"/>
        <v>724.28241204299775</v>
      </c>
      <c r="D17" s="14">
        <f t="shared" si="6"/>
        <v>5568.6481649320149</v>
      </c>
      <c r="E17" s="14">
        <f t="shared" si="7"/>
        <v>6292.9305769750126</v>
      </c>
      <c r="F17" s="14">
        <f t="shared" si="8"/>
        <v>890259.42397707945</v>
      </c>
    </row>
    <row r="18" spans="1:6" x14ac:dyDescent="0.2">
      <c r="A18" s="13" t="s">
        <v>62</v>
      </c>
      <c r="B18" s="14">
        <f t="shared" si="9"/>
        <v>890259.42397707945</v>
      </c>
      <c r="C18" s="14">
        <f t="shared" si="5"/>
        <v>728.80917711826623</v>
      </c>
      <c r="D18" s="14">
        <f t="shared" si="6"/>
        <v>5564.1213998567464</v>
      </c>
      <c r="E18" s="14">
        <f t="shared" si="7"/>
        <v>6292.9305769750126</v>
      </c>
      <c r="F18" s="14">
        <f t="shared" si="8"/>
        <v>889530.61479996121</v>
      </c>
    </row>
    <row r="19" spans="1:6" x14ac:dyDescent="0.2">
      <c r="A19" s="13" t="s">
        <v>63</v>
      </c>
      <c r="B19" s="14">
        <f t="shared" si="9"/>
        <v>889530.61479996121</v>
      </c>
      <c r="C19" s="14">
        <f t="shared" si="5"/>
        <v>733.36423447525522</v>
      </c>
      <c r="D19" s="14">
        <f t="shared" si="6"/>
        <v>5559.5663424997574</v>
      </c>
      <c r="E19" s="14">
        <f t="shared" si="7"/>
        <v>6292.9305769750126</v>
      </c>
      <c r="F19" s="14">
        <f t="shared" si="8"/>
        <v>888797.25056548591</v>
      </c>
    </row>
    <row r="20" spans="1:6" x14ac:dyDescent="0.2">
      <c r="A20" s="13" t="s">
        <v>64</v>
      </c>
      <c r="B20" s="14">
        <f t="shared" si="9"/>
        <v>888797.25056548591</v>
      </c>
      <c r="C20" s="14">
        <f t="shared" si="5"/>
        <v>737.94776094072586</v>
      </c>
      <c r="D20" s="14">
        <f t="shared" si="6"/>
        <v>5554.9828160342868</v>
      </c>
      <c r="E20" s="14">
        <f t="shared" si="7"/>
        <v>6292.9305769750126</v>
      </c>
      <c r="F20" s="14">
        <f t="shared" si="8"/>
        <v>888059.30280454515</v>
      </c>
    </row>
    <row r="21" spans="1:6" x14ac:dyDescent="0.2">
      <c r="A21" s="13" t="s">
        <v>65</v>
      </c>
      <c r="B21" s="14">
        <f t="shared" si="9"/>
        <v>888059.30280454515</v>
      </c>
      <c r="C21" s="14">
        <f t="shared" si="5"/>
        <v>742.55993444660544</v>
      </c>
      <c r="D21" s="14">
        <f t="shared" si="6"/>
        <v>5550.3706425284072</v>
      </c>
      <c r="E21" s="14">
        <f t="shared" si="7"/>
        <v>6292.9305769750126</v>
      </c>
      <c r="F21" s="14">
        <f t="shared" si="8"/>
        <v>887316.74287009856</v>
      </c>
    </row>
    <row r="22" spans="1:6" x14ac:dyDescent="0.2">
      <c r="A22" s="13" t="s">
        <v>66</v>
      </c>
      <c r="B22" s="14">
        <f t="shared" si="9"/>
        <v>887316.74287009856</v>
      </c>
      <c r="C22" s="14">
        <f t="shared" si="5"/>
        <v>747.2009340368968</v>
      </c>
      <c r="D22" s="14">
        <f t="shared" si="6"/>
        <v>5545.7296429381158</v>
      </c>
      <c r="E22" s="14">
        <f t="shared" si="7"/>
        <v>6292.9305769750126</v>
      </c>
      <c r="F22" s="14">
        <f t="shared" si="8"/>
        <v>886569.54193606169</v>
      </c>
    </row>
    <row r="23" spans="1:6" x14ac:dyDescent="0.2">
      <c r="A23" s="13" t="s">
        <v>67</v>
      </c>
      <c r="B23" s="14">
        <f t="shared" si="9"/>
        <v>886569.54193606169</v>
      </c>
      <c r="C23" s="14">
        <f t="shared" si="5"/>
        <v>751.87093987462777</v>
      </c>
      <c r="D23" s="14">
        <f t="shared" si="6"/>
        <v>5541.0596371003849</v>
      </c>
      <c r="E23" s="14">
        <f t="shared" si="7"/>
        <v>6292.9305769750126</v>
      </c>
      <c r="F23" s="14">
        <f t="shared" si="8"/>
        <v>885817.67099618702</v>
      </c>
    </row>
    <row r="24" spans="1:6" x14ac:dyDescent="0.2">
      <c r="A24" s="13" t="s">
        <v>68</v>
      </c>
      <c r="B24" s="14">
        <f t="shared" si="9"/>
        <v>885817.67099618702</v>
      </c>
      <c r="C24" s="14">
        <f t="shared" si="5"/>
        <v>756.57013324884429</v>
      </c>
      <c r="D24" s="14">
        <f t="shared" si="6"/>
        <v>5536.3604437261683</v>
      </c>
      <c r="E24" s="14">
        <f t="shared" si="7"/>
        <v>6292.9305769750126</v>
      </c>
      <c r="F24" s="14">
        <f t="shared" si="8"/>
        <v>885061.10086293821</v>
      </c>
    </row>
    <row r="25" spans="1:6" x14ac:dyDescent="0.2">
      <c r="A25" s="13" t="s">
        <v>69</v>
      </c>
      <c r="B25" s="14">
        <f t="shared" si="9"/>
        <v>885061.10086293821</v>
      </c>
      <c r="C25" s="14">
        <f t="shared" si="5"/>
        <v>761.29869658164898</v>
      </c>
      <c r="D25" s="14">
        <f t="shared" si="6"/>
        <v>5531.6318803933636</v>
      </c>
      <c r="E25" s="14">
        <f t="shared" si="7"/>
        <v>6292.9305769750126</v>
      </c>
      <c r="F25" s="14">
        <f t="shared" si="8"/>
        <v>884299.80216635659</v>
      </c>
    </row>
    <row r="26" spans="1:6" x14ac:dyDescent="0.2">
      <c r="A26" s="13" t="s">
        <v>70</v>
      </c>
      <c r="B26" s="14">
        <f t="shared" si="9"/>
        <v>884299.80216635659</v>
      </c>
      <c r="C26" s="14">
        <f t="shared" si="5"/>
        <v>766.0568134352834</v>
      </c>
      <c r="D26" s="14">
        <f t="shared" si="6"/>
        <v>5526.8737635397292</v>
      </c>
      <c r="E26" s="14">
        <f t="shared" si="7"/>
        <v>6292.9305769750126</v>
      </c>
      <c r="F26" s="14">
        <f t="shared" si="8"/>
        <v>883533.74535292131</v>
      </c>
    </row>
    <row r="27" spans="1:6" x14ac:dyDescent="0.2">
      <c r="A27" s="13" t="s">
        <v>71</v>
      </c>
      <c r="B27" s="14">
        <f t="shared" si="9"/>
        <v>883533.74535292131</v>
      </c>
      <c r="C27" s="14">
        <f t="shared" si="5"/>
        <v>770.8446685192539</v>
      </c>
      <c r="D27" s="14">
        <f t="shared" si="6"/>
        <v>5522.0859084557587</v>
      </c>
      <c r="E27" s="14">
        <f t="shared" si="7"/>
        <v>6292.9305769750126</v>
      </c>
      <c r="F27" s="15">
        <f t="shared" si="8"/>
        <v>882762.90068440209</v>
      </c>
    </row>
    <row r="28" spans="1:6" x14ac:dyDescent="0.2">
      <c r="A28" s="16" t="s">
        <v>59</v>
      </c>
      <c r="B28" s="16"/>
      <c r="C28" s="15">
        <f>SUM(C16:C27)</f>
        <v>8940.5894682413964</v>
      </c>
      <c r="D28" s="15">
        <f>SUM(D16:D27)</f>
        <v>66574.577455458741</v>
      </c>
      <c r="E28" s="14"/>
      <c r="F28" s="14"/>
    </row>
    <row r="29" spans="1:6" x14ac:dyDescent="0.2">
      <c r="A29" s="13"/>
      <c r="B29" s="13"/>
      <c r="C29" s="14"/>
      <c r="D29" s="14"/>
      <c r="E29" s="14"/>
      <c r="F29" s="14"/>
    </row>
    <row r="30" spans="1:6" x14ac:dyDescent="0.2">
      <c r="A30" s="13" t="s">
        <v>72</v>
      </c>
      <c r="B30" s="14">
        <f>+F27</f>
        <v>882762.90068440209</v>
      </c>
      <c r="C30" s="14">
        <f t="shared" ref="C30:C41" si="10">+E30-D30</f>
        <v>775.66244769750028</v>
      </c>
      <c r="D30" s="14">
        <f t="shared" ref="D30:D41" si="11">+B30*$H$2/12</f>
        <v>5517.2681292775123</v>
      </c>
      <c r="E30" s="14">
        <f t="shared" ref="E30:E41" si="12">$E$2</f>
        <v>6292.9305769750126</v>
      </c>
      <c r="F30" s="14">
        <f t="shared" ref="F30:F41" si="13">+B30-C30</f>
        <v>881987.23823670461</v>
      </c>
    </row>
    <row r="31" spans="1:6" x14ac:dyDescent="0.2">
      <c r="A31" s="13" t="s">
        <v>73</v>
      </c>
      <c r="B31" s="14">
        <f t="shared" ref="B31:B41" si="14">+F30</f>
        <v>881987.23823670461</v>
      </c>
      <c r="C31" s="14">
        <f t="shared" si="10"/>
        <v>780.51033799560901</v>
      </c>
      <c r="D31" s="14">
        <f t="shared" si="11"/>
        <v>5512.4202389794036</v>
      </c>
      <c r="E31" s="14">
        <f t="shared" si="12"/>
        <v>6292.9305769750126</v>
      </c>
      <c r="F31" s="14">
        <f t="shared" si="13"/>
        <v>881206.72789870901</v>
      </c>
    </row>
    <row r="32" spans="1:6" x14ac:dyDescent="0.2">
      <c r="A32" s="13" t="s">
        <v>74</v>
      </c>
      <c r="B32" s="14">
        <f t="shared" si="14"/>
        <v>881206.72789870901</v>
      </c>
      <c r="C32" s="14">
        <f t="shared" si="10"/>
        <v>785.38852760808186</v>
      </c>
      <c r="D32" s="14">
        <f t="shared" si="11"/>
        <v>5507.5420493669308</v>
      </c>
      <c r="E32" s="14">
        <f t="shared" si="12"/>
        <v>6292.9305769750126</v>
      </c>
      <c r="F32" s="14">
        <f t="shared" si="13"/>
        <v>880421.33937110088</v>
      </c>
    </row>
    <row r="33" spans="1:6" x14ac:dyDescent="0.2">
      <c r="A33" s="13" t="s">
        <v>75</v>
      </c>
      <c r="B33" s="14">
        <f t="shared" si="14"/>
        <v>880421.33937110088</v>
      </c>
      <c r="C33" s="14">
        <f t="shared" si="10"/>
        <v>790.29720590563284</v>
      </c>
      <c r="D33" s="14">
        <f t="shared" si="11"/>
        <v>5502.6333710693798</v>
      </c>
      <c r="E33" s="14">
        <f t="shared" si="12"/>
        <v>6292.9305769750126</v>
      </c>
      <c r="F33" s="14">
        <f t="shared" si="13"/>
        <v>879631.04216519522</v>
      </c>
    </row>
    <row r="34" spans="1:6" x14ac:dyDescent="0.2">
      <c r="A34" s="13" t="s">
        <v>76</v>
      </c>
      <c r="B34" s="14">
        <f t="shared" si="14"/>
        <v>879631.04216519522</v>
      </c>
      <c r="C34" s="14">
        <f t="shared" si="10"/>
        <v>795.23656344254323</v>
      </c>
      <c r="D34" s="14">
        <f t="shared" si="11"/>
        <v>5497.6940135324694</v>
      </c>
      <c r="E34" s="14">
        <f t="shared" si="12"/>
        <v>6292.9305769750126</v>
      </c>
      <c r="F34" s="14">
        <f t="shared" si="13"/>
        <v>878835.80560175271</v>
      </c>
    </row>
    <row r="35" spans="1:6" x14ac:dyDescent="0.2">
      <c r="A35" s="13" t="s">
        <v>77</v>
      </c>
      <c r="B35" s="14">
        <f t="shared" si="14"/>
        <v>878835.80560175271</v>
      </c>
      <c r="C35" s="14">
        <f t="shared" si="10"/>
        <v>800.20679196405763</v>
      </c>
      <c r="D35" s="14">
        <f t="shared" si="11"/>
        <v>5492.723785010955</v>
      </c>
      <c r="E35" s="14">
        <f t="shared" si="12"/>
        <v>6292.9305769750126</v>
      </c>
      <c r="F35" s="14">
        <f t="shared" si="13"/>
        <v>878035.5988097887</v>
      </c>
    </row>
    <row r="36" spans="1:6" x14ac:dyDescent="0.2">
      <c r="A36" s="13" t="s">
        <v>78</v>
      </c>
      <c r="B36" s="14">
        <f t="shared" si="14"/>
        <v>878035.5988097887</v>
      </c>
      <c r="C36" s="14">
        <f t="shared" si="10"/>
        <v>805.20808441383269</v>
      </c>
      <c r="D36" s="14">
        <f t="shared" si="11"/>
        <v>5487.7224925611799</v>
      </c>
      <c r="E36" s="14">
        <f t="shared" si="12"/>
        <v>6292.9305769750126</v>
      </c>
      <c r="F36" s="14">
        <f t="shared" si="13"/>
        <v>877230.39072537492</v>
      </c>
    </row>
    <row r="37" spans="1:6" x14ac:dyDescent="0.2">
      <c r="A37" s="13" t="s">
        <v>79</v>
      </c>
      <c r="B37" s="14">
        <f t="shared" si="14"/>
        <v>877230.39072537492</v>
      </c>
      <c r="C37" s="14">
        <f t="shared" si="10"/>
        <v>810.24063494141956</v>
      </c>
      <c r="D37" s="14">
        <f t="shared" si="11"/>
        <v>5482.6899420335931</v>
      </c>
      <c r="E37" s="14">
        <f t="shared" si="12"/>
        <v>6292.9305769750126</v>
      </c>
      <c r="F37" s="14">
        <f t="shared" si="13"/>
        <v>876420.15009043354</v>
      </c>
    </row>
    <row r="38" spans="1:6" x14ac:dyDescent="0.2">
      <c r="A38" s="13" t="s">
        <v>80</v>
      </c>
      <c r="B38" s="14">
        <f t="shared" si="14"/>
        <v>876420.15009043354</v>
      </c>
      <c r="C38" s="14">
        <f t="shared" si="10"/>
        <v>815.30463890980354</v>
      </c>
      <c r="D38" s="14">
        <f t="shared" si="11"/>
        <v>5477.6259380652091</v>
      </c>
      <c r="E38" s="14">
        <f t="shared" si="12"/>
        <v>6292.9305769750126</v>
      </c>
      <c r="F38" s="14">
        <f t="shared" si="13"/>
        <v>875604.84545152378</v>
      </c>
    </row>
    <row r="39" spans="1:6" x14ac:dyDescent="0.2">
      <c r="A39" s="13" t="s">
        <v>81</v>
      </c>
      <c r="B39" s="14">
        <f t="shared" si="14"/>
        <v>875604.84545152378</v>
      </c>
      <c r="C39" s="14">
        <f t="shared" si="10"/>
        <v>820.40029290298844</v>
      </c>
      <c r="D39" s="14">
        <f t="shared" si="11"/>
        <v>5472.5302840720242</v>
      </c>
      <c r="E39" s="14">
        <f t="shared" si="12"/>
        <v>6292.9305769750126</v>
      </c>
      <c r="F39" s="14">
        <f t="shared" si="13"/>
        <v>874784.44515862083</v>
      </c>
    </row>
    <row r="40" spans="1:6" x14ac:dyDescent="0.2">
      <c r="A40" s="13" t="s">
        <v>82</v>
      </c>
      <c r="B40" s="14">
        <f t="shared" si="14"/>
        <v>874784.44515862083</v>
      </c>
      <c r="C40" s="14">
        <f t="shared" si="10"/>
        <v>825.52779473363262</v>
      </c>
      <c r="D40" s="14">
        <f t="shared" si="11"/>
        <v>5467.40278224138</v>
      </c>
      <c r="E40" s="14">
        <f t="shared" si="12"/>
        <v>6292.9305769750126</v>
      </c>
      <c r="F40" s="14">
        <f t="shared" si="13"/>
        <v>873958.91736388719</v>
      </c>
    </row>
    <row r="41" spans="1:6" x14ac:dyDescent="0.2">
      <c r="A41" s="13" t="s">
        <v>83</v>
      </c>
      <c r="B41" s="14">
        <f t="shared" si="14"/>
        <v>873958.91736388719</v>
      </c>
      <c r="C41" s="14">
        <f t="shared" si="10"/>
        <v>830.68734345071789</v>
      </c>
      <c r="D41" s="14">
        <f t="shared" si="11"/>
        <v>5462.2432335242947</v>
      </c>
      <c r="E41" s="14">
        <f t="shared" si="12"/>
        <v>6292.9305769750126</v>
      </c>
      <c r="F41" s="15">
        <f t="shared" si="13"/>
        <v>873128.23002043646</v>
      </c>
    </row>
    <row r="42" spans="1:6" x14ac:dyDescent="0.2">
      <c r="A42" s="16" t="s">
        <v>59</v>
      </c>
      <c r="B42" s="16"/>
      <c r="C42" s="15">
        <f>SUM(C30:C41)</f>
        <v>9634.6706639658187</v>
      </c>
      <c r="D42" s="15">
        <f>SUM(D30:D41)</f>
        <v>65880.496259734326</v>
      </c>
      <c r="E42" s="14"/>
      <c r="F42" s="14"/>
    </row>
    <row r="43" spans="1:6" x14ac:dyDescent="0.2">
      <c r="A43" s="13"/>
      <c r="B43" s="13"/>
      <c r="C43" s="14"/>
      <c r="D43" s="14"/>
      <c r="E43" s="14"/>
      <c r="F43" s="14"/>
    </row>
    <row r="44" spans="1:6" x14ac:dyDescent="0.2">
      <c r="A44" s="13" t="s">
        <v>84</v>
      </c>
      <c r="B44" s="14">
        <f>+F41</f>
        <v>873128.23002043646</v>
      </c>
      <c r="C44" s="14">
        <f t="shared" ref="C44:C55" si="15">+E44-D44</f>
        <v>835.87913934728476</v>
      </c>
      <c r="D44" s="14">
        <f t="shared" ref="D44:D55" si="16">+B44*$H$2/12</f>
        <v>5457.0514376277279</v>
      </c>
      <c r="E44" s="14">
        <f t="shared" ref="E44:E55" si="17">$E$2</f>
        <v>6292.9305769750126</v>
      </c>
      <c r="F44" s="14">
        <f t="shared" ref="F44:F55" si="18">+B44-C44</f>
        <v>872292.35088108922</v>
      </c>
    </row>
    <row r="45" spans="1:6" x14ac:dyDescent="0.2">
      <c r="A45" s="13" t="s">
        <v>85</v>
      </c>
      <c r="B45" s="14">
        <f t="shared" ref="B45:B55" si="19">+F44</f>
        <v>872292.35088108922</v>
      </c>
      <c r="C45" s="14">
        <f t="shared" si="15"/>
        <v>841.10338396820498</v>
      </c>
      <c r="D45" s="14">
        <f t="shared" si="16"/>
        <v>5451.8271930068076</v>
      </c>
      <c r="E45" s="14">
        <f t="shared" si="17"/>
        <v>6292.9305769750126</v>
      </c>
      <c r="F45" s="14">
        <f t="shared" si="18"/>
        <v>871451.24749712099</v>
      </c>
    </row>
    <row r="46" spans="1:6" x14ac:dyDescent="0.2">
      <c r="A46" s="13" t="s">
        <v>86</v>
      </c>
      <c r="B46" s="14">
        <f t="shared" si="19"/>
        <v>871451.24749712099</v>
      </c>
      <c r="C46" s="14">
        <f t="shared" si="15"/>
        <v>846.36028011800681</v>
      </c>
      <c r="D46" s="14">
        <f t="shared" si="16"/>
        <v>5446.5702968570058</v>
      </c>
      <c r="E46" s="14">
        <f t="shared" si="17"/>
        <v>6292.9305769750126</v>
      </c>
      <c r="F46" s="14">
        <f t="shared" si="18"/>
        <v>870604.88721700304</v>
      </c>
    </row>
    <row r="47" spans="1:6" x14ac:dyDescent="0.2">
      <c r="A47" s="13" t="s">
        <v>87</v>
      </c>
      <c r="B47" s="14">
        <f t="shared" si="19"/>
        <v>870604.88721700304</v>
      </c>
      <c r="C47" s="14">
        <f t="shared" si="15"/>
        <v>851.65003186874401</v>
      </c>
      <c r="D47" s="14">
        <f t="shared" si="16"/>
        <v>5441.2805451062686</v>
      </c>
      <c r="E47" s="14">
        <f t="shared" si="17"/>
        <v>6292.9305769750126</v>
      </c>
      <c r="F47" s="14">
        <f t="shared" si="18"/>
        <v>869753.23718513432</v>
      </c>
    </row>
    <row r="48" spans="1:6" x14ac:dyDescent="0.2">
      <c r="A48" s="13" t="s">
        <v>88</v>
      </c>
      <c r="B48" s="14">
        <f t="shared" si="19"/>
        <v>869753.23718513432</v>
      </c>
      <c r="C48" s="14">
        <f t="shared" si="15"/>
        <v>856.97284456792295</v>
      </c>
      <c r="D48" s="14">
        <f t="shared" si="16"/>
        <v>5435.9577324070897</v>
      </c>
      <c r="E48" s="14">
        <f t="shared" si="17"/>
        <v>6292.9305769750126</v>
      </c>
      <c r="F48" s="14">
        <f t="shared" si="18"/>
        <v>868896.26434056635</v>
      </c>
    </row>
    <row r="49" spans="1:7" x14ac:dyDescent="0.2">
      <c r="A49" s="13" t="s">
        <v>89</v>
      </c>
      <c r="B49" s="14">
        <f t="shared" si="19"/>
        <v>868896.26434056635</v>
      </c>
      <c r="C49" s="14">
        <f t="shared" si="15"/>
        <v>862.32892484647346</v>
      </c>
      <c r="D49" s="14">
        <f t="shared" si="16"/>
        <v>5430.6016521285392</v>
      </c>
      <c r="E49" s="14">
        <f t="shared" si="17"/>
        <v>6292.9305769750126</v>
      </c>
      <c r="F49" s="14">
        <f t="shared" si="18"/>
        <v>868033.93541571987</v>
      </c>
    </row>
    <row r="50" spans="1:7" x14ac:dyDescent="0.2">
      <c r="A50" s="13" t="s">
        <v>90</v>
      </c>
      <c r="B50" s="14">
        <f t="shared" si="19"/>
        <v>868033.93541571987</v>
      </c>
      <c r="C50" s="14">
        <f t="shared" si="15"/>
        <v>867.71848062676327</v>
      </c>
      <c r="D50" s="14">
        <f t="shared" si="16"/>
        <v>5425.2120963482494</v>
      </c>
      <c r="E50" s="14">
        <f t="shared" si="17"/>
        <v>6292.9305769750126</v>
      </c>
      <c r="F50" s="14">
        <f t="shared" si="18"/>
        <v>867166.21693509305</v>
      </c>
    </row>
    <row r="51" spans="1:7" x14ac:dyDescent="0.2">
      <c r="A51" s="13" t="s">
        <v>91</v>
      </c>
      <c r="B51" s="14">
        <f t="shared" si="19"/>
        <v>867166.21693509305</v>
      </c>
      <c r="C51" s="14">
        <f t="shared" si="15"/>
        <v>873.14172113068162</v>
      </c>
      <c r="D51" s="14">
        <f t="shared" si="16"/>
        <v>5419.788855844331</v>
      </c>
      <c r="E51" s="14">
        <f t="shared" si="17"/>
        <v>6292.9305769750126</v>
      </c>
      <c r="F51" s="14">
        <f t="shared" si="18"/>
        <v>866293.07521396235</v>
      </c>
    </row>
    <row r="52" spans="1:7" x14ac:dyDescent="0.2">
      <c r="A52" s="13" t="s">
        <v>92</v>
      </c>
      <c r="B52" s="14">
        <f t="shared" si="19"/>
        <v>866293.07521396235</v>
      </c>
      <c r="C52" s="14">
        <f t="shared" si="15"/>
        <v>878.5988568877483</v>
      </c>
      <c r="D52" s="14">
        <f t="shared" si="16"/>
        <v>5414.3317200872643</v>
      </c>
      <c r="E52" s="14">
        <f t="shared" si="17"/>
        <v>6292.9305769750126</v>
      </c>
      <c r="F52" s="14">
        <f t="shared" si="18"/>
        <v>865414.47635707457</v>
      </c>
    </row>
    <row r="53" spans="1:7" x14ac:dyDescent="0.2">
      <c r="A53" s="13" t="s">
        <v>93</v>
      </c>
      <c r="B53" s="14">
        <f t="shared" si="19"/>
        <v>865414.47635707457</v>
      </c>
      <c r="C53" s="14">
        <f t="shared" si="15"/>
        <v>884.09009974329638</v>
      </c>
      <c r="D53" s="14">
        <f t="shared" si="16"/>
        <v>5408.8404772317162</v>
      </c>
      <c r="E53" s="14">
        <f t="shared" si="17"/>
        <v>6292.9305769750126</v>
      </c>
      <c r="F53" s="14">
        <f t="shared" si="18"/>
        <v>864530.38625733124</v>
      </c>
    </row>
    <row r="54" spans="1:7" x14ac:dyDescent="0.2">
      <c r="A54" s="13" t="s">
        <v>94</v>
      </c>
      <c r="B54" s="14">
        <f t="shared" si="19"/>
        <v>864530.38625733124</v>
      </c>
      <c r="C54" s="14">
        <f t="shared" si="15"/>
        <v>889.61566286669222</v>
      </c>
      <c r="D54" s="14">
        <f t="shared" si="16"/>
        <v>5403.3149141083204</v>
      </c>
      <c r="E54" s="14">
        <f t="shared" si="17"/>
        <v>6292.9305769750126</v>
      </c>
      <c r="F54" s="14">
        <f t="shared" si="18"/>
        <v>863640.7705944645</v>
      </c>
    </row>
    <row r="55" spans="1:7" x14ac:dyDescent="0.2">
      <c r="A55" s="13" t="s">
        <v>95</v>
      </c>
      <c r="B55" s="14">
        <f t="shared" si="19"/>
        <v>863640.7705944645</v>
      </c>
      <c r="C55" s="14">
        <f t="shared" si="15"/>
        <v>895.17576075961006</v>
      </c>
      <c r="D55" s="14">
        <f t="shared" si="16"/>
        <v>5397.7548162154026</v>
      </c>
      <c r="E55" s="14">
        <f t="shared" si="17"/>
        <v>6292.9305769750126</v>
      </c>
      <c r="F55" s="15">
        <f t="shared" si="18"/>
        <v>862745.59483370488</v>
      </c>
      <c r="G55" s="14"/>
    </row>
    <row r="56" spans="1:7" x14ac:dyDescent="0.2">
      <c r="A56" s="16" t="s">
        <v>59</v>
      </c>
      <c r="B56" s="17"/>
      <c r="C56" s="15">
        <f>SUM(C44:C55)</f>
        <v>10382.63518673143</v>
      </c>
      <c r="D56" s="15">
        <f>SUM(D44:D55)</f>
        <v>65132.531736968718</v>
      </c>
    </row>
    <row r="58" spans="1:7" x14ac:dyDescent="0.2">
      <c r="A58" s="30">
        <v>42370</v>
      </c>
      <c r="B58" s="14">
        <f>+F55</f>
        <v>862745.59483370488</v>
      </c>
      <c r="C58" s="14">
        <f t="shared" ref="C58:C69" si="20">+E58-D58</f>
        <v>900.77060926435752</v>
      </c>
      <c r="D58" s="14">
        <f t="shared" ref="D58:D69" si="21">+B58*$H$2/12</f>
        <v>5392.1599677106551</v>
      </c>
      <c r="E58" s="14">
        <f t="shared" ref="E58:E69" si="22">$E$2</f>
        <v>6292.9305769750126</v>
      </c>
      <c r="F58" s="14">
        <f t="shared" ref="F58:F69" si="23">+B58-C58</f>
        <v>861844.8242244405</v>
      </c>
    </row>
    <row r="59" spans="1:7" x14ac:dyDescent="0.2">
      <c r="A59" s="30">
        <v>42401</v>
      </c>
      <c r="B59" s="14">
        <f t="shared" ref="B59:B69" si="24">+F58</f>
        <v>861844.8242244405</v>
      </c>
      <c r="C59" s="14">
        <f t="shared" si="20"/>
        <v>906.40042557225934</v>
      </c>
      <c r="D59" s="14">
        <f t="shared" si="21"/>
        <v>5386.5301514027533</v>
      </c>
      <c r="E59" s="14">
        <f t="shared" si="22"/>
        <v>6292.9305769750126</v>
      </c>
      <c r="F59" s="14">
        <f t="shared" si="23"/>
        <v>860938.4237988682</v>
      </c>
    </row>
    <row r="60" spans="1:7" x14ac:dyDescent="0.2">
      <c r="A60" s="30">
        <v>42430</v>
      </c>
      <c r="B60" s="14">
        <f t="shared" si="24"/>
        <v>860938.4237988682</v>
      </c>
      <c r="C60" s="14">
        <f t="shared" si="20"/>
        <v>912.06542823208656</v>
      </c>
      <c r="D60" s="14">
        <f t="shared" si="21"/>
        <v>5380.8651487429261</v>
      </c>
      <c r="E60" s="14">
        <f t="shared" si="22"/>
        <v>6292.9305769750126</v>
      </c>
      <c r="F60" s="14">
        <f t="shared" si="23"/>
        <v>860026.35837063612</v>
      </c>
    </row>
    <row r="61" spans="1:7" x14ac:dyDescent="0.2">
      <c r="A61" s="30">
        <v>42461</v>
      </c>
      <c r="B61" s="14">
        <f t="shared" si="24"/>
        <v>860026.35837063612</v>
      </c>
      <c r="C61" s="14">
        <f t="shared" si="20"/>
        <v>917.76583715853667</v>
      </c>
      <c r="D61" s="14">
        <f t="shared" si="21"/>
        <v>5375.164739816476</v>
      </c>
      <c r="E61" s="14">
        <f t="shared" si="22"/>
        <v>6292.9305769750126</v>
      </c>
      <c r="F61" s="14">
        <f t="shared" si="23"/>
        <v>859108.59253347758</v>
      </c>
    </row>
    <row r="62" spans="1:7" x14ac:dyDescent="0.2">
      <c r="A62" s="30">
        <v>42491</v>
      </c>
      <c r="B62" s="14">
        <f t="shared" si="24"/>
        <v>859108.59253347758</v>
      </c>
      <c r="C62" s="14">
        <f t="shared" si="20"/>
        <v>923.50187364077829</v>
      </c>
      <c r="D62" s="14">
        <f t="shared" si="21"/>
        <v>5369.4287033342343</v>
      </c>
      <c r="E62" s="14">
        <f t="shared" si="22"/>
        <v>6292.9305769750126</v>
      </c>
      <c r="F62" s="14">
        <f t="shared" si="23"/>
        <v>858185.09065983677</v>
      </c>
    </row>
    <row r="63" spans="1:7" x14ac:dyDescent="0.2">
      <c r="A63" s="30">
        <v>42522</v>
      </c>
      <c r="B63" s="14">
        <f t="shared" si="24"/>
        <v>858185.09065983677</v>
      </c>
      <c r="C63" s="14">
        <f t="shared" si="20"/>
        <v>929.27376035103316</v>
      </c>
      <c r="D63" s="14">
        <f t="shared" si="21"/>
        <v>5363.6568166239795</v>
      </c>
      <c r="E63" s="14">
        <f t="shared" si="22"/>
        <v>6292.9305769750126</v>
      </c>
      <c r="F63" s="14">
        <f t="shared" si="23"/>
        <v>857255.81689948577</v>
      </c>
    </row>
    <row r="64" spans="1:7" x14ac:dyDescent="0.2">
      <c r="A64" s="30">
        <v>42552</v>
      </c>
      <c r="B64" s="14">
        <f t="shared" si="24"/>
        <v>857255.81689948577</v>
      </c>
      <c r="C64" s="14">
        <f t="shared" si="20"/>
        <v>935.08172135322638</v>
      </c>
      <c r="D64" s="14">
        <f t="shared" si="21"/>
        <v>5357.8488556217862</v>
      </c>
      <c r="E64" s="14">
        <f t="shared" si="22"/>
        <v>6292.9305769750126</v>
      </c>
      <c r="F64" s="14">
        <f t="shared" si="23"/>
        <v>856320.73517813254</v>
      </c>
    </row>
    <row r="65" spans="1:6" x14ac:dyDescent="0.2">
      <c r="A65" s="30">
        <v>42583</v>
      </c>
      <c r="B65" s="14">
        <f t="shared" si="24"/>
        <v>856320.73517813254</v>
      </c>
      <c r="C65" s="14">
        <f t="shared" si="20"/>
        <v>940.92598211168479</v>
      </c>
      <c r="D65" s="14">
        <f t="shared" si="21"/>
        <v>5352.0045948633278</v>
      </c>
      <c r="E65" s="14">
        <f t="shared" si="22"/>
        <v>6292.9305769750126</v>
      </c>
      <c r="F65" s="14">
        <f t="shared" si="23"/>
        <v>855379.80919602083</v>
      </c>
    </row>
    <row r="66" spans="1:6" x14ac:dyDescent="0.2">
      <c r="A66" s="30">
        <v>42614</v>
      </c>
      <c r="B66" s="14">
        <f t="shared" si="24"/>
        <v>855379.80919602083</v>
      </c>
      <c r="C66" s="14">
        <f t="shared" si="20"/>
        <v>946.80676949988265</v>
      </c>
      <c r="D66" s="14">
        <f t="shared" si="21"/>
        <v>5346.12380747513</v>
      </c>
      <c r="E66" s="14">
        <f t="shared" si="22"/>
        <v>6292.9305769750126</v>
      </c>
      <c r="F66" s="14">
        <f t="shared" si="23"/>
        <v>854433.00242652092</v>
      </c>
    </row>
    <row r="67" spans="1:6" x14ac:dyDescent="0.2">
      <c r="A67" s="30">
        <v>42644</v>
      </c>
      <c r="B67" s="14">
        <f t="shared" si="24"/>
        <v>854433.00242652092</v>
      </c>
      <c r="C67" s="14">
        <f t="shared" si="20"/>
        <v>952.72431180925742</v>
      </c>
      <c r="D67" s="14">
        <f t="shared" si="21"/>
        <v>5340.2062651657552</v>
      </c>
      <c r="E67" s="14">
        <f t="shared" si="22"/>
        <v>6292.9305769750126</v>
      </c>
      <c r="F67" s="14">
        <f t="shared" si="23"/>
        <v>853480.27811471163</v>
      </c>
    </row>
    <row r="68" spans="1:6" x14ac:dyDescent="0.2">
      <c r="A68" s="30">
        <v>42675</v>
      </c>
      <c r="B68" s="14">
        <f t="shared" si="24"/>
        <v>853480.27811471163</v>
      </c>
      <c r="C68" s="14">
        <f t="shared" si="20"/>
        <v>958.67883875806547</v>
      </c>
      <c r="D68" s="14">
        <f t="shared" si="21"/>
        <v>5334.2517382169472</v>
      </c>
      <c r="E68" s="14">
        <f t="shared" si="22"/>
        <v>6292.9305769750126</v>
      </c>
      <c r="F68" s="14">
        <f t="shared" si="23"/>
        <v>852521.5992759536</v>
      </c>
    </row>
    <row r="69" spans="1:6" x14ac:dyDescent="0.2">
      <c r="A69" s="30">
        <v>42705</v>
      </c>
      <c r="B69" s="14">
        <f t="shared" si="24"/>
        <v>852521.5992759536</v>
      </c>
      <c r="C69" s="14">
        <f t="shared" si="20"/>
        <v>964.67058150030243</v>
      </c>
      <c r="D69" s="14">
        <f t="shared" si="21"/>
        <v>5328.2599954747102</v>
      </c>
      <c r="E69" s="14">
        <f t="shared" si="22"/>
        <v>6292.9305769750126</v>
      </c>
      <c r="F69" s="15">
        <f t="shared" si="23"/>
        <v>851556.92869445332</v>
      </c>
    </row>
    <row r="70" spans="1:6" x14ac:dyDescent="0.2">
      <c r="A70" s="16" t="s">
        <v>59</v>
      </c>
      <c r="B70" s="17"/>
      <c r="C70" s="15">
        <f>SUM(C58:C69)</f>
        <v>11188.666139251471</v>
      </c>
      <c r="D70" s="15">
        <f>SUM(D58:D69)</f>
        <v>64326.500784448683</v>
      </c>
    </row>
    <row r="72" spans="1:6" x14ac:dyDescent="0.2">
      <c r="A72" s="30">
        <v>42736</v>
      </c>
      <c r="B72" s="14">
        <f>+F69</f>
        <v>851556.92869445332</v>
      </c>
      <c r="C72" s="14">
        <f t="shared" ref="C72:C83" si="25">+E72-D72</f>
        <v>970.6997726346799</v>
      </c>
      <c r="D72" s="14">
        <f t="shared" ref="D72:D83" si="26">+B72*$H$2/12</f>
        <v>5322.2308043403327</v>
      </c>
      <c r="E72" s="14">
        <f t="shared" ref="E72:E83" si="27">$E$2</f>
        <v>6292.9305769750126</v>
      </c>
      <c r="F72" s="14">
        <f t="shared" ref="F72:F83" si="28">+B72-C72</f>
        <v>850586.22892181866</v>
      </c>
    </row>
    <row r="73" spans="1:6" x14ac:dyDescent="0.2">
      <c r="A73" s="30">
        <v>42767</v>
      </c>
      <c r="B73" s="14">
        <f t="shared" ref="B73:B83" si="29">+F72</f>
        <v>850586.22892181866</v>
      </c>
      <c r="C73" s="14">
        <f t="shared" si="25"/>
        <v>976.7666462136458</v>
      </c>
      <c r="D73" s="14">
        <f t="shared" si="26"/>
        <v>5316.1639307613668</v>
      </c>
      <c r="E73" s="14">
        <f t="shared" si="27"/>
        <v>6292.9305769750126</v>
      </c>
      <c r="F73" s="14">
        <f t="shared" si="28"/>
        <v>849609.46227560507</v>
      </c>
    </row>
    <row r="74" spans="1:6" x14ac:dyDescent="0.2">
      <c r="A74" s="30">
        <v>42795</v>
      </c>
      <c r="B74" s="14">
        <f t="shared" si="29"/>
        <v>849609.46227560507</v>
      </c>
      <c r="C74" s="14">
        <f t="shared" si="25"/>
        <v>982.87143775248114</v>
      </c>
      <c r="D74" s="14">
        <f t="shared" si="26"/>
        <v>5310.0591392225315</v>
      </c>
      <c r="E74" s="14">
        <f t="shared" si="27"/>
        <v>6292.9305769750126</v>
      </c>
      <c r="F74" s="14">
        <f t="shared" si="28"/>
        <v>848626.59083785256</v>
      </c>
    </row>
    <row r="75" spans="1:6" x14ac:dyDescent="0.2">
      <c r="A75" s="30">
        <v>42826</v>
      </c>
      <c r="B75" s="14">
        <f t="shared" si="29"/>
        <v>848626.59083785256</v>
      </c>
      <c r="C75" s="14">
        <f t="shared" si="25"/>
        <v>989.0143842384341</v>
      </c>
      <c r="D75" s="14">
        <f t="shared" si="26"/>
        <v>5303.9161927365785</v>
      </c>
      <c r="E75" s="14">
        <f t="shared" si="27"/>
        <v>6292.9305769750126</v>
      </c>
      <c r="F75" s="14">
        <f t="shared" si="28"/>
        <v>847637.57645361417</v>
      </c>
    </row>
    <row r="76" spans="1:6" x14ac:dyDescent="0.2">
      <c r="A76" s="30">
        <v>42856</v>
      </c>
      <c r="B76" s="14">
        <f t="shared" si="29"/>
        <v>847637.57645361417</v>
      </c>
      <c r="C76" s="14">
        <f t="shared" si="25"/>
        <v>995.1957241399241</v>
      </c>
      <c r="D76" s="14">
        <f t="shared" si="26"/>
        <v>5297.7348528350885</v>
      </c>
      <c r="E76" s="14">
        <f t="shared" si="27"/>
        <v>6292.9305769750126</v>
      </c>
      <c r="F76" s="14">
        <f t="shared" si="28"/>
        <v>846642.38072947424</v>
      </c>
    </row>
    <row r="77" spans="1:6" x14ac:dyDescent="0.2">
      <c r="A77" s="30">
        <v>42887</v>
      </c>
      <c r="B77" s="14">
        <f t="shared" si="29"/>
        <v>846642.38072947424</v>
      </c>
      <c r="C77" s="14">
        <f t="shared" si="25"/>
        <v>1001.4156974157986</v>
      </c>
      <c r="D77" s="14">
        <f t="shared" si="26"/>
        <v>5291.514879559214</v>
      </c>
      <c r="E77" s="14">
        <f t="shared" si="27"/>
        <v>6292.9305769750126</v>
      </c>
      <c r="F77" s="14">
        <f t="shared" si="28"/>
        <v>845640.96503205842</v>
      </c>
    </row>
    <row r="78" spans="1:6" x14ac:dyDescent="0.2">
      <c r="A78" s="30">
        <v>42917</v>
      </c>
      <c r="B78" s="14">
        <f t="shared" si="29"/>
        <v>845640.96503205842</v>
      </c>
      <c r="C78" s="14">
        <f t="shared" si="25"/>
        <v>1007.6745455246473</v>
      </c>
      <c r="D78" s="14">
        <f t="shared" si="26"/>
        <v>5285.2560314503653</v>
      </c>
      <c r="E78" s="14">
        <f t="shared" si="27"/>
        <v>6292.9305769750126</v>
      </c>
      <c r="F78" s="14">
        <f t="shared" si="28"/>
        <v>844633.29048653378</v>
      </c>
    </row>
    <row r="79" spans="1:6" x14ac:dyDescent="0.2">
      <c r="A79" s="30">
        <v>42948</v>
      </c>
      <c r="B79" s="14">
        <f t="shared" si="29"/>
        <v>844633.29048653378</v>
      </c>
      <c r="C79" s="14">
        <f t="shared" si="25"/>
        <v>1013.9725114341763</v>
      </c>
      <c r="D79" s="14">
        <f t="shared" si="26"/>
        <v>5278.9580655408363</v>
      </c>
      <c r="E79" s="14">
        <f t="shared" si="27"/>
        <v>6292.9305769750126</v>
      </c>
      <c r="F79" s="14">
        <f t="shared" si="28"/>
        <v>843619.31797509955</v>
      </c>
    </row>
    <row r="80" spans="1:6" x14ac:dyDescent="0.2">
      <c r="A80" s="30">
        <v>42979</v>
      </c>
      <c r="B80" s="14">
        <f t="shared" si="29"/>
        <v>843619.31797509955</v>
      </c>
      <c r="C80" s="14">
        <f t="shared" si="25"/>
        <v>1020.3098396306405</v>
      </c>
      <c r="D80" s="14">
        <f t="shared" si="26"/>
        <v>5272.6207373443722</v>
      </c>
      <c r="E80" s="14">
        <f t="shared" si="27"/>
        <v>6292.9305769750126</v>
      </c>
      <c r="F80" s="14">
        <f t="shared" si="28"/>
        <v>842599.00813546893</v>
      </c>
    </row>
    <row r="81" spans="1:6" x14ac:dyDescent="0.2">
      <c r="A81" s="30">
        <v>43009</v>
      </c>
      <c r="B81" s="14">
        <f t="shared" si="29"/>
        <v>842599.00813546893</v>
      </c>
      <c r="C81" s="14">
        <f t="shared" si="25"/>
        <v>1026.686776128332</v>
      </c>
      <c r="D81" s="14">
        <f t="shared" si="26"/>
        <v>5266.2438008466806</v>
      </c>
      <c r="E81" s="14">
        <f t="shared" si="27"/>
        <v>6292.9305769750126</v>
      </c>
      <c r="F81" s="14">
        <f t="shared" si="28"/>
        <v>841572.32135934057</v>
      </c>
    </row>
    <row r="82" spans="1:6" x14ac:dyDescent="0.2">
      <c r="A82" s="30">
        <v>43040</v>
      </c>
      <c r="B82" s="14">
        <f t="shared" si="29"/>
        <v>841572.32135934057</v>
      </c>
      <c r="C82" s="14">
        <f t="shared" si="25"/>
        <v>1033.1035684791341</v>
      </c>
      <c r="D82" s="14">
        <f t="shared" si="26"/>
        <v>5259.8270084958785</v>
      </c>
      <c r="E82" s="14">
        <f t="shared" si="27"/>
        <v>6292.9305769750126</v>
      </c>
      <c r="F82" s="14">
        <f t="shared" si="28"/>
        <v>840539.21779086138</v>
      </c>
    </row>
    <row r="83" spans="1:6" x14ac:dyDescent="0.2">
      <c r="A83" s="30">
        <v>43070</v>
      </c>
      <c r="B83" s="14">
        <f t="shared" si="29"/>
        <v>840539.21779086138</v>
      </c>
      <c r="C83" s="14">
        <f t="shared" si="25"/>
        <v>1039.5604657821295</v>
      </c>
      <c r="D83" s="14">
        <f t="shared" si="26"/>
        <v>5253.3701111928831</v>
      </c>
      <c r="E83" s="14">
        <f t="shared" si="27"/>
        <v>6292.9305769750126</v>
      </c>
      <c r="F83" s="15">
        <f t="shared" si="28"/>
        <v>839499.6573250792</v>
      </c>
    </row>
    <row r="84" spans="1:6" x14ac:dyDescent="0.2">
      <c r="A84" s="16" t="s">
        <v>59</v>
      </c>
      <c r="B84" s="17"/>
      <c r="C84" s="15">
        <f>SUM(C72:C83)</f>
        <v>12057.271369374024</v>
      </c>
      <c r="D84" s="15">
        <f>SUM(D72:D83)</f>
        <v>63457.895554326118</v>
      </c>
    </row>
    <row r="86" spans="1:6" x14ac:dyDescent="0.2">
      <c r="A86" s="30">
        <v>43101</v>
      </c>
      <c r="B86" s="14">
        <f>+F83</f>
        <v>839499.6573250792</v>
      </c>
      <c r="C86" s="14">
        <f t="shared" ref="C86:C97" si="30">+E86-D86</f>
        <v>1046.0577186932678</v>
      </c>
      <c r="D86" s="14">
        <f t="shared" ref="D86:D97" si="31">+B86*$H$2/12</f>
        <v>5246.8728582817448</v>
      </c>
      <c r="E86" s="14">
        <f t="shared" ref="E86:E97" si="32">$E$2</f>
        <v>6292.9305769750126</v>
      </c>
      <c r="F86" s="14">
        <f t="shared" ref="F86:F97" si="33">+B86-C86</f>
        <v>838453.59960638592</v>
      </c>
    </row>
    <row r="87" spans="1:6" x14ac:dyDescent="0.2">
      <c r="A87" s="30">
        <v>43132</v>
      </c>
      <c r="B87" s="14">
        <f t="shared" ref="B87:B97" si="34">+F86</f>
        <v>838453.59960638592</v>
      </c>
      <c r="C87" s="14">
        <f t="shared" si="30"/>
        <v>1052.5955794351012</v>
      </c>
      <c r="D87" s="14">
        <f t="shared" si="31"/>
        <v>5240.3349975399115</v>
      </c>
      <c r="E87" s="14">
        <f t="shared" si="32"/>
        <v>6292.9305769750126</v>
      </c>
      <c r="F87" s="14">
        <f t="shared" si="33"/>
        <v>837401.0040269508</v>
      </c>
    </row>
    <row r="88" spans="1:6" x14ac:dyDescent="0.2">
      <c r="A88" s="30">
        <v>43160</v>
      </c>
      <c r="B88" s="14">
        <f t="shared" si="34"/>
        <v>837401.0040269508</v>
      </c>
      <c r="C88" s="14">
        <f t="shared" si="30"/>
        <v>1059.1743018065699</v>
      </c>
      <c r="D88" s="14">
        <f t="shared" si="31"/>
        <v>5233.7562751684427</v>
      </c>
      <c r="E88" s="14">
        <f t="shared" si="32"/>
        <v>6292.9305769750126</v>
      </c>
      <c r="F88" s="14">
        <f t="shared" si="33"/>
        <v>836341.8297251442</v>
      </c>
    </row>
    <row r="89" spans="1:6" x14ac:dyDescent="0.2">
      <c r="A89" s="30">
        <v>43191</v>
      </c>
      <c r="B89" s="14">
        <f t="shared" si="34"/>
        <v>836341.8297251442</v>
      </c>
      <c r="C89" s="14">
        <f t="shared" si="30"/>
        <v>1065.7941411928614</v>
      </c>
      <c r="D89" s="14">
        <f t="shared" si="31"/>
        <v>5227.1364357821512</v>
      </c>
      <c r="E89" s="14">
        <f t="shared" si="32"/>
        <v>6292.9305769750126</v>
      </c>
      <c r="F89" s="14">
        <f t="shared" si="33"/>
        <v>835276.03558395139</v>
      </c>
    </row>
    <row r="90" spans="1:6" x14ac:dyDescent="0.2">
      <c r="A90" s="30">
        <v>43221</v>
      </c>
      <c r="B90" s="14">
        <f t="shared" si="34"/>
        <v>835276.03558395139</v>
      </c>
      <c r="C90" s="14">
        <f t="shared" si="30"/>
        <v>1072.455354575317</v>
      </c>
      <c r="D90" s="14">
        <f t="shared" si="31"/>
        <v>5220.4752223996957</v>
      </c>
      <c r="E90" s="14">
        <f t="shared" si="32"/>
        <v>6292.9305769750126</v>
      </c>
      <c r="F90" s="14">
        <f t="shared" si="33"/>
        <v>834203.58022937609</v>
      </c>
    </row>
    <row r="91" spans="1:6" x14ac:dyDescent="0.2">
      <c r="A91" s="30">
        <v>43252</v>
      </c>
      <c r="B91" s="14">
        <f t="shared" si="34"/>
        <v>834203.58022937609</v>
      </c>
      <c r="C91" s="14">
        <f t="shared" si="30"/>
        <v>1079.158200541412</v>
      </c>
      <c r="D91" s="14">
        <f t="shared" si="31"/>
        <v>5213.7723764336006</v>
      </c>
      <c r="E91" s="14">
        <f t="shared" si="32"/>
        <v>6292.9305769750126</v>
      </c>
      <c r="F91" s="14">
        <f t="shared" si="33"/>
        <v>833124.4220288347</v>
      </c>
    </row>
    <row r="92" spans="1:6" x14ac:dyDescent="0.2">
      <c r="A92" s="30">
        <v>43282</v>
      </c>
      <c r="B92" s="14">
        <f t="shared" si="34"/>
        <v>833124.4220288347</v>
      </c>
      <c r="C92" s="14">
        <f t="shared" si="30"/>
        <v>1085.9029392947959</v>
      </c>
      <c r="D92" s="14">
        <f t="shared" si="31"/>
        <v>5207.0276376802167</v>
      </c>
      <c r="E92" s="14">
        <f t="shared" si="32"/>
        <v>6292.9305769750126</v>
      </c>
      <c r="F92" s="14">
        <f t="shared" si="33"/>
        <v>832038.51908953988</v>
      </c>
    </row>
    <row r="93" spans="1:6" x14ac:dyDescent="0.2">
      <c r="A93" s="30">
        <v>43313</v>
      </c>
      <c r="B93" s="14">
        <f t="shared" si="34"/>
        <v>832038.51908953988</v>
      </c>
      <c r="C93" s="14">
        <f t="shared" si="30"/>
        <v>1092.6898326653882</v>
      </c>
      <c r="D93" s="14">
        <f t="shared" si="31"/>
        <v>5200.2407443096245</v>
      </c>
      <c r="E93" s="14">
        <f t="shared" si="32"/>
        <v>6292.9305769750126</v>
      </c>
      <c r="F93" s="14">
        <f t="shared" si="33"/>
        <v>830945.82925687451</v>
      </c>
    </row>
    <row r="94" spans="1:6" x14ac:dyDescent="0.2">
      <c r="A94" s="30">
        <v>43344</v>
      </c>
      <c r="B94" s="14">
        <f t="shared" si="34"/>
        <v>830945.82925687451</v>
      </c>
      <c r="C94" s="14">
        <f t="shared" si="30"/>
        <v>1099.5191441195475</v>
      </c>
      <c r="D94" s="14">
        <f t="shared" si="31"/>
        <v>5193.4114328554651</v>
      </c>
      <c r="E94" s="14">
        <f t="shared" si="32"/>
        <v>6292.9305769750126</v>
      </c>
      <c r="F94" s="14">
        <f t="shared" si="33"/>
        <v>829846.31011275493</v>
      </c>
    </row>
    <row r="95" spans="1:6" x14ac:dyDescent="0.2">
      <c r="A95" s="30">
        <v>43374</v>
      </c>
      <c r="B95" s="14">
        <f t="shared" si="34"/>
        <v>829846.31011275493</v>
      </c>
      <c r="C95" s="14">
        <f t="shared" si="30"/>
        <v>1106.3911387702947</v>
      </c>
      <c r="D95" s="14">
        <f t="shared" si="31"/>
        <v>5186.539438204718</v>
      </c>
      <c r="E95" s="14">
        <f t="shared" si="32"/>
        <v>6292.9305769750126</v>
      </c>
      <c r="F95" s="14">
        <f t="shared" si="33"/>
        <v>828739.91897398466</v>
      </c>
    </row>
    <row r="96" spans="1:6" x14ac:dyDescent="0.2">
      <c r="A96" s="30">
        <v>43405</v>
      </c>
      <c r="B96" s="14">
        <f t="shared" si="34"/>
        <v>828739.91897398466</v>
      </c>
      <c r="C96" s="14">
        <f t="shared" si="30"/>
        <v>1113.3060833876089</v>
      </c>
      <c r="D96" s="14">
        <f t="shared" si="31"/>
        <v>5179.6244935874038</v>
      </c>
      <c r="E96" s="14">
        <f t="shared" si="32"/>
        <v>6292.9305769750126</v>
      </c>
      <c r="F96" s="14">
        <f t="shared" si="33"/>
        <v>827626.61289059708</v>
      </c>
    </row>
    <row r="97" spans="1:6" x14ac:dyDescent="0.2">
      <c r="A97" s="30">
        <v>43435</v>
      </c>
      <c r="B97" s="14">
        <f t="shared" si="34"/>
        <v>827626.61289059708</v>
      </c>
      <c r="C97" s="14">
        <f t="shared" si="30"/>
        <v>1120.2642464087812</v>
      </c>
      <c r="D97" s="14">
        <f t="shared" si="31"/>
        <v>5172.6663305662314</v>
      </c>
      <c r="E97" s="14">
        <f t="shared" si="32"/>
        <v>6292.9305769750126</v>
      </c>
      <c r="F97" s="15">
        <f t="shared" si="33"/>
        <v>826506.34864418826</v>
      </c>
    </row>
    <row r="98" spans="1:6" x14ac:dyDescent="0.2">
      <c r="A98" s="16" t="s">
        <v>59</v>
      </c>
      <c r="B98" s="17"/>
      <c r="C98" s="15">
        <f>SUM(C86:C97)</f>
        <v>12993.308680890943</v>
      </c>
      <c r="D98" s="15">
        <f>SUM(D86:D97)</f>
        <v>62521.858242809198</v>
      </c>
    </row>
    <row r="100" spans="1:6" x14ac:dyDescent="0.2">
      <c r="A100" s="30">
        <v>43466</v>
      </c>
      <c r="B100" s="14">
        <f>+F97</f>
        <v>826506.34864418826</v>
      </c>
      <c r="C100" s="14">
        <f t="shared" ref="C100:C111" si="35">+E100-D100</f>
        <v>1127.265897948836</v>
      </c>
      <c r="D100" s="14">
        <f t="shared" ref="D100:D111" si="36">+B100*$H$2/12</f>
        <v>5165.6646790261766</v>
      </c>
      <c r="E100" s="14">
        <f t="shared" ref="E100:E111" si="37">$E$2</f>
        <v>6292.9305769750126</v>
      </c>
      <c r="F100" s="14">
        <f t="shared" ref="F100:F111" si="38">+B100-C100</f>
        <v>825379.08274623938</v>
      </c>
    </row>
    <row r="101" spans="1:6" x14ac:dyDescent="0.2">
      <c r="A101" s="30">
        <v>43497</v>
      </c>
      <c r="B101" s="14">
        <f t="shared" ref="B101:B111" si="39">+F100</f>
        <v>825379.08274623938</v>
      </c>
      <c r="C101" s="14">
        <f t="shared" si="35"/>
        <v>1134.3113098110171</v>
      </c>
      <c r="D101" s="14">
        <f t="shared" si="36"/>
        <v>5158.6192671639956</v>
      </c>
      <c r="E101" s="14">
        <f t="shared" si="37"/>
        <v>6292.9305769750126</v>
      </c>
      <c r="F101" s="14">
        <f t="shared" si="38"/>
        <v>824244.77143642842</v>
      </c>
    </row>
    <row r="102" spans="1:6" x14ac:dyDescent="0.2">
      <c r="A102" s="30">
        <v>43525</v>
      </c>
      <c r="B102" s="14">
        <f t="shared" si="39"/>
        <v>824244.77143642842</v>
      </c>
      <c r="C102" s="14">
        <f t="shared" si="35"/>
        <v>1141.400755497335</v>
      </c>
      <c r="D102" s="14">
        <f t="shared" si="36"/>
        <v>5151.5298214776776</v>
      </c>
      <c r="E102" s="14">
        <f t="shared" si="37"/>
        <v>6292.9305769750126</v>
      </c>
      <c r="F102" s="14">
        <f t="shared" si="38"/>
        <v>823103.37068093114</v>
      </c>
    </row>
    <row r="103" spans="1:6" x14ac:dyDescent="0.2">
      <c r="A103" s="30">
        <v>43556</v>
      </c>
      <c r="B103" s="14">
        <f t="shared" si="39"/>
        <v>823103.37068093114</v>
      </c>
      <c r="C103" s="14">
        <f t="shared" si="35"/>
        <v>1148.5345102191932</v>
      </c>
      <c r="D103" s="14">
        <f t="shared" si="36"/>
        <v>5144.3960667558194</v>
      </c>
      <c r="E103" s="14">
        <f t="shared" si="37"/>
        <v>6292.9305769750126</v>
      </c>
      <c r="F103" s="14">
        <f t="shared" si="38"/>
        <v>821954.8361707119</v>
      </c>
    </row>
    <row r="104" spans="1:6" x14ac:dyDescent="0.2">
      <c r="A104" s="30">
        <v>43586</v>
      </c>
      <c r="B104" s="14">
        <f t="shared" si="39"/>
        <v>821954.8361707119</v>
      </c>
      <c r="C104" s="14">
        <f t="shared" si="35"/>
        <v>1155.712850908063</v>
      </c>
      <c r="D104" s="14">
        <f t="shared" si="36"/>
        <v>5137.2177260669496</v>
      </c>
      <c r="E104" s="14">
        <f t="shared" si="37"/>
        <v>6292.9305769750126</v>
      </c>
      <c r="F104" s="14">
        <f t="shared" si="38"/>
        <v>820799.12331980385</v>
      </c>
    </row>
    <row r="105" spans="1:6" x14ac:dyDescent="0.2">
      <c r="A105" s="30">
        <v>43617</v>
      </c>
      <c r="B105" s="14">
        <f t="shared" si="39"/>
        <v>820799.12331980385</v>
      </c>
      <c r="C105" s="14">
        <f t="shared" si="35"/>
        <v>1162.9360562262391</v>
      </c>
      <c r="D105" s="14">
        <f t="shared" si="36"/>
        <v>5129.9945207487735</v>
      </c>
      <c r="E105" s="14">
        <f t="shared" si="37"/>
        <v>6292.9305769750126</v>
      </c>
      <c r="F105" s="14">
        <f t="shared" si="38"/>
        <v>819636.18726357759</v>
      </c>
    </row>
    <row r="106" spans="1:6" x14ac:dyDescent="0.2">
      <c r="A106" s="30">
        <v>43647</v>
      </c>
      <c r="B106" s="14">
        <f t="shared" si="39"/>
        <v>819636.18726357759</v>
      </c>
      <c r="C106" s="14">
        <f t="shared" si="35"/>
        <v>1170.2044065776527</v>
      </c>
      <c r="D106" s="14">
        <f t="shared" si="36"/>
        <v>5122.72617039736</v>
      </c>
      <c r="E106" s="14">
        <f t="shared" si="37"/>
        <v>6292.9305769750126</v>
      </c>
      <c r="F106" s="14">
        <f t="shared" si="38"/>
        <v>818465.98285699997</v>
      </c>
    </row>
    <row r="107" spans="1:6" x14ac:dyDescent="0.2">
      <c r="A107" s="30">
        <v>43678</v>
      </c>
      <c r="B107" s="14">
        <f t="shared" si="39"/>
        <v>818465.98285699997</v>
      </c>
      <c r="C107" s="14">
        <f t="shared" si="35"/>
        <v>1177.5181841187632</v>
      </c>
      <c r="D107" s="14">
        <f t="shared" si="36"/>
        <v>5115.4123928562494</v>
      </c>
      <c r="E107" s="14">
        <f t="shared" si="37"/>
        <v>6292.9305769750126</v>
      </c>
      <c r="F107" s="14">
        <f t="shared" si="38"/>
        <v>817288.46467288118</v>
      </c>
    </row>
    <row r="108" spans="1:6" x14ac:dyDescent="0.2">
      <c r="A108" s="30">
        <v>43709</v>
      </c>
      <c r="B108" s="14">
        <f t="shared" si="39"/>
        <v>817288.46467288118</v>
      </c>
      <c r="C108" s="14">
        <f t="shared" si="35"/>
        <v>1184.8776727695058</v>
      </c>
      <c r="D108" s="14">
        <f t="shared" si="36"/>
        <v>5108.0529042055068</v>
      </c>
      <c r="E108" s="14">
        <f t="shared" si="37"/>
        <v>6292.9305769750126</v>
      </c>
      <c r="F108" s="14">
        <f t="shared" si="38"/>
        <v>816103.5870001117</v>
      </c>
    </row>
    <row r="109" spans="1:6" x14ac:dyDescent="0.2">
      <c r="A109" s="30">
        <v>43739</v>
      </c>
      <c r="B109" s="14">
        <f t="shared" si="39"/>
        <v>816103.5870001117</v>
      </c>
      <c r="C109" s="14">
        <f t="shared" si="35"/>
        <v>1192.2831582243143</v>
      </c>
      <c r="D109" s="14">
        <f t="shared" si="36"/>
        <v>5100.6474187506983</v>
      </c>
      <c r="E109" s="14">
        <f t="shared" si="37"/>
        <v>6292.9305769750126</v>
      </c>
      <c r="F109" s="14">
        <f t="shared" si="38"/>
        <v>814911.30384188739</v>
      </c>
    </row>
    <row r="110" spans="1:6" x14ac:dyDescent="0.2">
      <c r="A110" s="30">
        <v>43770</v>
      </c>
      <c r="B110" s="14">
        <f t="shared" si="39"/>
        <v>814911.30384188739</v>
      </c>
      <c r="C110" s="14">
        <f t="shared" si="35"/>
        <v>1199.7349279632163</v>
      </c>
      <c r="D110" s="14">
        <f t="shared" si="36"/>
        <v>5093.1956490117964</v>
      </c>
      <c r="E110" s="14">
        <f t="shared" si="37"/>
        <v>6292.9305769750126</v>
      </c>
      <c r="F110" s="14">
        <f t="shared" si="38"/>
        <v>813711.56891392416</v>
      </c>
    </row>
    <row r="111" spans="1:6" x14ac:dyDescent="0.2">
      <c r="A111" s="30">
        <v>43800</v>
      </c>
      <c r="B111" s="14">
        <f t="shared" si="39"/>
        <v>813711.56891392416</v>
      </c>
      <c r="C111" s="14">
        <f t="shared" si="35"/>
        <v>1207.2332712629868</v>
      </c>
      <c r="D111" s="14">
        <f t="shared" si="36"/>
        <v>5085.6973057120258</v>
      </c>
      <c r="E111" s="14">
        <f t="shared" si="37"/>
        <v>6292.9305769750126</v>
      </c>
      <c r="F111" s="15">
        <f t="shared" si="38"/>
        <v>812504.3356426612</v>
      </c>
    </row>
    <row r="112" spans="1:6" x14ac:dyDescent="0.2">
      <c r="A112" s="16" t="s">
        <v>59</v>
      </c>
      <c r="B112" s="17"/>
      <c r="C112" s="15">
        <f>SUM(C100:C111)</f>
        <v>14002.013001527122</v>
      </c>
      <c r="D112" s="15">
        <f>SUM(D100:D111)</f>
        <v>61513.153922173027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="75" zoomScaleNormal="75" workbookViewId="0">
      <selection activeCell="A13" sqref="A13"/>
    </sheetView>
  </sheetViews>
  <sheetFormatPr defaultRowHeight="12.75" x14ac:dyDescent="0.2"/>
  <sheetData>
    <row r="1" spans="1:1" ht="13.15" customHeight="1" x14ac:dyDescent="0.2">
      <c r="A1" s="83" t="s">
        <v>178</v>
      </c>
    </row>
    <row r="2" spans="1:1" ht="13.15" customHeight="1" x14ac:dyDescent="0.2">
      <c r="A2" s="84" t="s">
        <v>179</v>
      </c>
    </row>
    <row r="3" spans="1:1" ht="13.15" customHeight="1" x14ac:dyDescent="0.2">
      <c r="A3" s="84" t="s">
        <v>190</v>
      </c>
    </row>
    <row r="4" spans="1:1" ht="13.15" customHeight="1" x14ac:dyDescent="0.2">
      <c r="A4" s="84" t="s">
        <v>180</v>
      </c>
    </row>
    <row r="5" spans="1:1" ht="13.15" customHeight="1" x14ac:dyDescent="0.2">
      <c r="A5" s="84" t="s">
        <v>181</v>
      </c>
    </row>
    <row r="6" spans="1:1" ht="13.15" customHeight="1" x14ac:dyDescent="0.2">
      <c r="A6" s="84" t="s">
        <v>182</v>
      </c>
    </row>
    <row r="7" spans="1:1" ht="13.15" customHeight="1" x14ac:dyDescent="0.2">
      <c r="A7" s="84" t="s">
        <v>183</v>
      </c>
    </row>
    <row r="8" spans="1:1" ht="13.15" customHeight="1" x14ac:dyDescent="0.2">
      <c r="A8" s="84" t="s">
        <v>184</v>
      </c>
    </row>
    <row r="9" spans="1:1" ht="13.15" customHeight="1" x14ac:dyDescent="0.2">
      <c r="A9" s="84" t="s">
        <v>185</v>
      </c>
    </row>
    <row r="10" spans="1:1" ht="13.15" customHeight="1" x14ac:dyDescent="0.2">
      <c r="A10" s="84" t="s">
        <v>186</v>
      </c>
    </row>
    <row r="11" spans="1:1" ht="13.15" customHeight="1" x14ac:dyDescent="0.2">
      <c r="A11" s="84" t="s">
        <v>187</v>
      </c>
    </row>
    <row r="12" spans="1:1" ht="13.15" customHeight="1" x14ac:dyDescent="0.2">
      <c r="A12" s="85" t="s">
        <v>188</v>
      </c>
    </row>
    <row r="13" spans="1:1" ht="13.15" customHeight="1" x14ac:dyDescent="0.25">
      <c r="A13" s="86"/>
    </row>
    <row r="14" spans="1:1" ht="13.15" customHeight="1" x14ac:dyDescent="0.2"/>
    <row r="15" spans="1:1" ht="13.15" customHeight="1" x14ac:dyDescent="0.2"/>
    <row r="16" spans="1:1" ht="13.15" customHeight="1" x14ac:dyDescent="0.2"/>
    <row r="17" ht="13.15" customHeight="1" x14ac:dyDescent="0.2"/>
    <row r="18" ht="13.15" customHeight="1" x14ac:dyDescent="0.2"/>
    <row r="19" ht="13.15" customHeight="1" x14ac:dyDescent="0.2"/>
    <row r="20" ht="13.15" customHeight="1" x14ac:dyDescent="0.2"/>
    <row r="21" ht="13.15" customHeight="1" x14ac:dyDescent="0.2"/>
    <row r="22" ht="13.15" customHeight="1" x14ac:dyDescent="0.2"/>
    <row r="23" ht="13.15" customHeight="1" x14ac:dyDescent="0.2"/>
    <row r="24" ht="13.15" customHeight="1" x14ac:dyDescent="0.2"/>
    <row r="25" ht="13.15" customHeight="1" x14ac:dyDescent="0.2"/>
    <row r="26" ht="13.15" customHeight="1" x14ac:dyDescent="0.2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E33" sqref="E33"/>
    </sheetView>
  </sheetViews>
  <sheetFormatPr defaultRowHeight="12.75" x14ac:dyDescent="0.2"/>
  <sheetData>
    <row r="1" spans="1:6" x14ac:dyDescent="0.2">
      <c r="A1" t="s">
        <v>144</v>
      </c>
    </row>
    <row r="3" spans="1:6" x14ac:dyDescent="0.2">
      <c r="A3" t="s">
        <v>149</v>
      </c>
    </row>
    <row r="5" spans="1:6" ht="63.75" x14ac:dyDescent="0.2">
      <c r="B5" s="51" t="s">
        <v>145</v>
      </c>
      <c r="C5" s="51"/>
      <c r="D5" s="51"/>
      <c r="E5" s="52">
        <v>9.0550000000000005E-2</v>
      </c>
      <c r="F5" s="51"/>
    </row>
    <row r="6" spans="1:6" ht="25.5" x14ac:dyDescent="0.2">
      <c r="B6" s="51" t="s">
        <v>146</v>
      </c>
      <c r="C6" s="51"/>
      <c r="D6" s="51" t="s">
        <v>147</v>
      </c>
      <c r="E6" s="51"/>
      <c r="F6" s="51" t="s">
        <v>148</v>
      </c>
    </row>
    <row r="7" spans="1:6" x14ac:dyDescent="0.2">
      <c r="B7" s="53">
        <v>1988</v>
      </c>
      <c r="C7" s="51"/>
      <c r="D7" s="54">
        <v>0.1661</v>
      </c>
      <c r="E7" s="51"/>
      <c r="F7" s="51">
        <v>1.17</v>
      </c>
    </row>
    <row r="8" spans="1:6" x14ac:dyDescent="0.2">
      <c r="B8" s="53">
        <v>1989</v>
      </c>
      <c r="C8" s="51"/>
      <c r="D8" s="54">
        <v>0.31690000000000002</v>
      </c>
      <c r="E8" s="51"/>
      <c r="F8" s="51">
        <v>1.54</v>
      </c>
    </row>
    <row r="9" spans="1:6" x14ac:dyDescent="0.2">
      <c r="B9" s="53">
        <v>1990</v>
      </c>
      <c r="C9" s="51"/>
      <c r="D9" s="54">
        <v>-3.1E-2</v>
      </c>
      <c r="E9" s="51"/>
      <c r="F9" s="51">
        <v>1.49</v>
      </c>
    </row>
    <row r="10" spans="1:6" x14ac:dyDescent="0.2">
      <c r="B10" s="53">
        <v>1991</v>
      </c>
      <c r="C10" s="51"/>
      <c r="D10" s="54">
        <v>0.30470000000000003</v>
      </c>
      <c r="E10" s="51"/>
      <c r="F10" s="51">
        <v>1.94</v>
      </c>
    </row>
    <row r="11" spans="1:6" x14ac:dyDescent="0.2">
      <c r="B11" s="53">
        <v>1992</v>
      </c>
      <c r="C11" s="51"/>
      <c r="D11" s="54">
        <v>7.6200000000000004E-2</v>
      </c>
      <c r="E11" s="51"/>
      <c r="F11" s="51">
        <v>2.09</v>
      </c>
    </row>
    <row r="12" spans="1:6" x14ac:dyDescent="0.2">
      <c r="B12" s="53">
        <v>1993</v>
      </c>
      <c r="C12" s="51"/>
      <c r="D12" s="54">
        <v>0.1008</v>
      </c>
      <c r="E12" s="51"/>
      <c r="F12" s="51">
        <v>2.2999999999999998</v>
      </c>
    </row>
    <row r="13" spans="1:6" x14ac:dyDescent="0.2">
      <c r="B13" s="53">
        <v>1994</v>
      </c>
      <c r="C13" s="51"/>
      <c r="D13" s="54">
        <v>1.32E-2</v>
      </c>
      <c r="E13" s="51"/>
      <c r="F13" s="51">
        <v>2.33</v>
      </c>
    </row>
    <row r="14" spans="1:6" x14ac:dyDescent="0.2">
      <c r="B14" s="53">
        <v>1995</v>
      </c>
      <c r="C14" s="51"/>
      <c r="D14" s="54">
        <v>0.37580000000000002</v>
      </c>
      <c r="E14" s="51"/>
      <c r="F14" s="51">
        <v>3.21</v>
      </c>
    </row>
    <row r="15" spans="1:6" x14ac:dyDescent="0.2">
      <c r="B15" s="53">
        <v>1996</v>
      </c>
      <c r="C15" s="51"/>
      <c r="D15" s="54">
        <v>0.2296</v>
      </c>
      <c r="E15" s="51"/>
      <c r="F15" s="51">
        <v>3.94</v>
      </c>
    </row>
    <row r="16" spans="1:6" x14ac:dyDescent="0.2">
      <c r="B16" s="53">
        <v>1997</v>
      </c>
      <c r="C16" s="51"/>
      <c r="D16" s="54">
        <v>0.33360000000000001</v>
      </c>
      <c r="E16" s="51"/>
      <c r="F16" s="51">
        <v>5.26</v>
      </c>
    </row>
    <row r="17" spans="1:6" x14ac:dyDescent="0.2">
      <c r="B17" s="53">
        <v>1998</v>
      </c>
      <c r="C17" s="51"/>
      <c r="D17" s="54">
        <v>0.2858</v>
      </c>
      <c r="E17" s="51"/>
      <c r="F17" s="51">
        <v>6.76</v>
      </c>
    </row>
    <row r="18" spans="1:6" x14ac:dyDescent="0.2">
      <c r="B18" s="53">
        <v>1999</v>
      </c>
      <c r="C18" s="51"/>
      <c r="D18" s="54">
        <v>0.2104</v>
      </c>
      <c r="E18" s="51"/>
      <c r="F18" s="51">
        <v>8.18</v>
      </c>
    </row>
    <row r="19" spans="1:6" x14ac:dyDescent="0.2">
      <c r="B19" s="53">
        <v>2000</v>
      </c>
      <c r="C19" s="51"/>
      <c r="D19" s="54">
        <v>-9.0999999999999998E-2</v>
      </c>
      <c r="E19" s="51"/>
      <c r="F19" s="51">
        <v>7.44</v>
      </c>
    </row>
    <row r="20" spans="1:6" x14ac:dyDescent="0.2">
      <c r="B20" s="53">
        <v>2001</v>
      </c>
      <c r="C20" s="51"/>
      <c r="D20" s="54">
        <v>-0.11890000000000001</v>
      </c>
      <c r="E20" s="51"/>
      <c r="F20" s="51">
        <v>6.55</v>
      </c>
    </row>
    <row r="21" spans="1:6" x14ac:dyDescent="0.2">
      <c r="B21" s="53">
        <v>2002</v>
      </c>
      <c r="C21" s="51"/>
      <c r="D21" s="54">
        <v>-0.221</v>
      </c>
      <c r="E21" s="51"/>
      <c r="F21" s="51">
        <v>5.0999999999999996</v>
      </c>
    </row>
    <row r="22" spans="1:6" x14ac:dyDescent="0.2">
      <c r="B22" s="53">
        <v>2003</v>
      </c>
      <c r="C22" s="51"/>
      <c r="D22" s="54">
        <v>0.28689999999999999</v>
      </c>
      <c r="E22" s="51"/>
      <c r="F22" s="51">
        <v>6.57</v>
      </c>
    </row>
    <row r="23" spans="1:6" x14ac:dyDescent="0.2">
      <c r="B23" s="53">
        <v>2004</v>
      </c>
      <c r="C23" s="51"/>
      <c r="D23" s="54">
        <v>0.10879999999999999</v>
      </c>
      <c r="E23" s="51"/>
      <c r="F23" s="51">
        <v>7.28</v>
      </c>
    </row>
    <row r="24" spans="1:6" x14ac:dyDescent="0.2">
      <c r="B24" s="53">
        <v>2005</v>
      </c>
      <c r="C24" s="51"/>
      <c r="D24" s="54">
        <v>4.9099999999999998E-2</v>
      </c>
      <c r="E24" s="51"/>
      <c r="F24" s="51">
        <v>7.64</v>
      </c>
    </row>
    <row r="25" spans="1:6" x14ac:dyDescent="0.2">
      <c r="B25" s="53">
        <v>2006</v>
      </c>
      <c r="C25" s="51"/>
      <c r="D25" s="54">
        <v>0.15790000000000001</v>
      </c>
      <c r="E25" s="51"/>
      <c r="F25" s="51">
        <v>8.85</v>
      </c>
    </row>
    <row r="26" spans="1:6" x14ac:dyDescent="0.2">
      <c r="B26" s="53">
        <v>2007</v>
      </c>
      <c r="C26" s="51"/>
      <c r="D26" s="54">
        <v>5.4899999999999997E-2</v>
      </c>
      <c r="E26" s="51"/>
      <c r="F26" s="51">
        <v>9.33</v>
      </c>
    </row>
    <row r="27" spans="1:6" x14ac:dyDescent="0.2">
      <c r="B27" s="53">
        <v>2008</v>
      </c>
      <c r="C27" s="51"/>
      <c r="D27" s="54">
        <v>-0.37</v>
      </c>
      <c r="E27" s="51"/>
      <c r="F27" s="51">
        <v>5.88</v>
      </c>
    </row>
    <row r="28" spans="1:6" x14ac:dyDescent="0.2">
      <c r="B28" s="53">
        <v>2009</v>
      </c>
      <c r="C28" s="51"/>
      <c r="D28" s="54">
        <v>0.2646</v>
      </c>
      <c r="E28" s="51"/>
      <c r="F28" s="51">
        <v>7.44</v>
      </c>
    </row>
    <row r="29" spans="1:6" x14ac:dyDescent="0.2">
      <c r="B29" s="53">
        <v>2010</v>
      </c>
      <c r="C29" s="51"/>
      <c r="D29" s="54">
        <v>0.15060000000000001</v>
      </c>
      <c r="E29" s="51"/>
      <c r="F29" s="51">
        <v>8.56</v>
      </c>
    </row>
    <row r="30" spans="1:6" x14ac:dyDescent="0.2">
      <c r="B30" s="53">
        <v>2011</v>
      </c>
      <c r="C30" s="51"/>
      <c r="D30" s="54">
        <v>2.0500000000000001E-2</v>
      </c>
      <c r="E30" s="51"/>
      <c r="F30" s="51">
        <v>8.73</v>
      </c>
    </row>
    <row r="32" spans="1:6" x14ac:dyDescent="0.2">
      <c r="A32" t="s">
        <v>150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Rasberry Gardens</vt:lpstr>
      <vt:lpstr>Mortgage</vt:lpstr>
      <vt:lpstr>Assumptions</vt:lpstr>
      <vt:lpstr>WACC reason</vt:lpstr>
      <vt:lpstr>'Rasberry Gardens'!Print_Area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2013-12-13T18:05:09Z</dcterms:created>
  <dcterms:modified xsi:type="dcterms:W3CDTF">2019-05-16T21:22:46Z</dcterms:modified>
</cp:coreProperties>
</file>