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Proforma" sheetId="1" r:id="rId1"/>
    <sheet name="Assumptions" sheetId="2" r:id="rId2"/>
  </sheets>
  <calcPr calcId="145621"/>
</workbook>
</file>

<file path=xl/calcChain.xml><?xml version="1.0" encoding="utf-8"?>
<calcChain xmlns="http://schemas.openxmlformats.org/spreadsheetml/2006/main">
  <c r="V114" i="1" l="1"/>
  <c r="V113" i="1"/>
  <c r="V100" i="1"/>
  <c r="S35" i="1" l="1"/>
  <c r="M35" i="1"/>
  <c r="H36" i="1"/>
  <c r="H35" i="1"/>
  <c r="H114" i="1"/>
  <c r="I114" i="1"/>
  <c r="H113" i="1"/>
  <c r="I113" i="1"/>
  <c r="P113" i="1"/>
  <c r="P114" i="1" s="1"/>
  <c r="V108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H94" i="1"/>
  <c r="H95" i="1" s="1"/>
  <c r="I94" i="1"/>
  <c r="J94" i="1"/>
  <c r="J95" i="1" s="1"/>
  <c r="K94" i="1"/>
  <c r="L94" i="1"/>
  <c r="L95" i="1" s="1"/>
  <c r="M94" i="1"/>
  <c r="N94" i="1"/>
  <c r="N95" i="1" s="1"/>
  <c r="O94" i="1"/>
  <c r="P94" i="1"/>
  <c r="P95" i="1" s="1"/>
  <c r="Q94" i="1"/>
  <c r="R94" i="1"/>
  <c r="R95" i="1" s="1"/>
  <c r="S94" i="1"/>
  <c r="T94" i="1"/>
  <c r="T95" i="1" s="1"/>
  <c r="U94" i="1"/>
  <c r="V94" i="1"/>
  <c r="V95" i="1" s="1"/>
  <c r="I95" i="1"/>
  <c r="K95" i="1"/>
  <c r="M95" i="1"/>
  <c r="O95" i="1"/>
  <c r="Q95" i="1"/>
  <c r="S95" i="1"/>
  <c r="U95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H91" i="1"/>
  <c r="H92" i="1" s="1"/>
  <c r="I91" i="1"/>
  <c r="J91" i="1"/>
  <c r="J92" i="1" s="1"/>
  <c r="K91" i="1"/>
  <c r="L91" i="1"/>
  <c r="L92" i="1" s="1"/>
  <c r="M91" i="1"/>
  <c r="N91" i="1"/>
  <c r="N92" i="1" s="1"/>
  <c r="O91" i="1"/>
  <c r="P91" i="1"/>
  <c r="P92" i="1" s="1"/>
  <c r="Q91" i="1"/>
  <c r="R91" i="1"/>
  <c r="R92" i="1" s="1"/>
  <c r="S91" i="1"/>
  <c r="T91" i="1"/>
  <c r="T92" i="1" s="1"/>
  <c r="U91" i="1"/>
  <c r="V91" i="1"/>
  <c r="V92" i="1" s="1"/>
  <c r="I92" i="1"/>
  <c r="K92" i="1"/>
  <c r="M92" i="1"/>
  <c r="O92" i="1"/>
  <c r="Q92" i="1"/>
  <c r="S92" i="1"/>
  <c r="U92" i="1"/>
  <c r="H103" i="1"/>
  <c r="I103" i="1"/>
  <c r="J103" i="1"/>
  <c r="J113" i="1" s="1"/>
  <c r="L103" i="1"/>
  <c r="L113" i="1" s="1"/>
  <c r="L114" i="1" s="1"/>
  <c r="M103" i="1"/>
  <c r="M113" i="1" s="1"/>
  <c r="M114" i="1" s="1"/>
  <c r="N103" i="1"/>
  <c r="N113" i="1" s="1"/>
  <c r="N114" i="1" s="1"/>
  <c r="P103" i="1"/>
  <c r="Q103" i="1"/>
  <c r="Q113" i="1" s="1"/>
  <c r="Q114" i="1" s="1"/>
  <c r="R103" i="1"/>
  <c r="R113" i="1" s="1"/>
  <c r="R114" i="1" s="1"/>
  <c r="T103" i="1"/>
  <c r="T113" i="1" s="1"/>
  <c r="T114" i="1" s="1"/>
  <c r="U103" i="1"/>
  <c r="U113" i="1" s="1"/>
  <c r="U114" i="1" s="1"/>
  <c r="V103" i="1"/>
  <c r="H38" i="1"/>
  <c r="I38" i="1"/>
  <c r="J38" i="1"/>
  <c r="K38" i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I35" i="1"/>
  <c r="J35" i="1"/>
  <c r="K35" i="1" s="1"/>
  <c r="L35" i="1" s="1"/>
  <c r="N35" i="1" s="1"/>
  <c r="O35" i="1" s="1"/>
  <c r="P35" i="1" s="1"/>
  <c r="Q35" i="1" s="1"/>
  <c r="R35" i="1" s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H27" i="1"/>
  <c r="I27" i="1"/>
  <c r="J27" i="1"/>
  <c r="K27" i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H26" i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H24" i="1"/>
  <c r="H30" i="1" s="1"/>
  <c r="I24" i="1"/>
  <c r="I30" i="1" s="1"/>
  <c r="J24" i="1"/>
  <c r="J30" i="1" s="1"/>
  <c r="L24" i="1"/>
  <c r="L30" i="1" s="1"/>
  <c r="M24" i="1"/>
  <c r="M30" i="1" s="1"/>
  <c r="N24" i="1"/>
  <c r="N30" i="1" s="1"/>
  <c r="P24" i="1"/>
  <c r="P30" i="1" s="1"/>
  <c r="Q24" i="1"/>
  <c r="Q30" i="1" s="1"/>
  <c r="R24" i="1"/>
  <c r="R30" i="1" s="1"/>
  <c r="T24" i="1"/>
  <c r="T30" i="1" s="1"/>
  <c r="U24" i="1"/>
  <c r="U30" i="1" s="1"/>
  <c r="V24" i="1"/>
  <c r="V30" i="1" s="1"/>
  <c r="H23" i="1"/>
  <c r="I23" i="1" s="1"/>
  <c r="V11" i="1"/>
  <c r="U11" i="1"/>
  <c r="Q11" i="1"/>
  <c r="R11" i="1" s="1"/>
  <c r="S11" i="1" s="1"/>
  <c r="T11" i="1" s="1"/>
  <c r="P11" i="1"/>
  <c r="M11" i="1"/>
  <c r="N11" i="1" s="1"/>
  <c r="O11" i="1" s="1"/>
  <c r="L11" i="1"/>
  <c r="K11" i="1"/>
  <c r="J11" i="1"/>
  <c r="I11" i="1"/>
  <c r="H11" i="1"/>
  <c r="H12" i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H7" i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H8" i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H9" i="1"/>
  <c r="I9" i="1"/>
  <c r="J9" i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H10" i="1"/>
  <c r="I10" i="1"/>
  <c r="J10" i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U3" i="1"/>
  <c r="V3" i="1" s="1"/>
  <c r="T3" i="1"/>
  <c r="O3" i="1"/>
  <c r="P3" i="1" s="1"/>
  <c r="Q3" i="1" s="1"/>
  <c r="R3" i="1" s="1"/>
  <c r="N3" i="1"/>
  <c r="M3" i="1"/>
  <c r="J3" i="1"/>
  <c r="K3" i="1" s="1"/>
  <c r="L3" i="1" s="1"/>
  <c r="I3" i="1"/>
  <c r="T35" i="1" l="1"/>
  <c r="U35" i="1" s="1"/>
  <c r="V35" i="1" s="1"/>
  <c r="J114" i="1"/>
  <c r="S24" i="1"/>
  <c r="S30" i="1" s="1"/>
  <c r="O24" i="1"/>
  <c r="O30" i="1" s="1"/>
  <c r="K24" i="1"/>
  <c r="K30" i="1" s="1"/>
  <c r="S103" i="1"/>
  <c r="S113" i="1" s="1"/>
  <c r="S114" i="1" s="1"/>
  <c r="O103" i="1"/>
  <c r="O113" i="1" s="1"/>
  <c r="O114" i="1" s="1"/>
  <c r="K103" i="1"/>
  <c r="K113" i="1" s="1"/>
  <c r="K114" i="1" s="1"/>
  <c r="H13" i="1"/>
  <c r="H15" i="1" s="1"/>
  <c r="H16" i="1" s="1"/>
  <c r="J13" i="1"/>
  <c r="J15" i="1" s="1"/>
  <c r="J16" i="1" s="1"/>
  <c r="I13" i="1"/>
  <c r="I15" i="1" s="1"/>
  <c r="C114" i="1"/>
  <c r="D113" i="1"/>
  <c r="E113" i="1"/>
  <c r="F113" i="1"/>
  <c r="G113" i="1"/>
  <c r="C113" i="1"/>
  <c r="C119" i="1" l="1"/>
  <c r="C120" i="1"/>
  <c r="J17" i="1"/>
  <c r="J33" i="1"/>
  <c r="J36" i="1" s="1"/>
  <c r="H17" i="1"/>
  <c r="H39" i="1" s="1"/>
  <c r="H33" i="1"/>
  <c r="K13" i="1"/>
  <c r="K15" i="1" s="1"/>
  <c r="I16" i="1"/>
  <c r="I33" i="1" s="1"/>
  <c r="I36" i="1" s="1"/>
  <c r="C98" i="1"/>
  <c r="I17" i="1" l="1"/>
  <c r="I39" i="1"/>
  <c r="H40" i="1"/>
  <c r="H42" i="1" s="1"/>
  <c r="H44" i="1" s="1"/>
  <c r="K16" i="1"/>
  <c r="L13" i="1"/>
  <c r="L15" i="1" s="1"/>
  <c r="L16" i="1" s="1"/>
  <c r="D61" i="1"/>
  <c r="D54" i="1"/>
  <c r="F69" i="1" s="1"/>
  <c r="D80" i="1" s="1"/>
  <c r="J39" i="1" l="1"/>
  <c r="I40" i="1"/>
  <c r="I42" i="1" s="1"/>
  <c r="I44" i="1" s="1"/>
  <c r="L17" i="1"/>
  <c r="L33" i="1"/>
  <c r="L36" i="1" s="1"/>
  <c r="K17" i="1"/>
  <c r="K33" i="1"/>
  <c r="K36" i="1" s="1"/>
  <c r="M13" i="1"/>
  <c r="M15" i="1" s="1"/>
  <c r="M16" i="1" s="1"/>
  <c r="D55" i="1"/>
  <c r="D56" i="1" s="1"/>
  <c r="D63" i="1"/>
  <c r="D10" i="1"/>
  <c r="E26" i="1"/>
  <c r="F26" i="1" s="1"/>
  <c r="G26" i="1" s="1"/>
  <c r="E12" i="1"/>
  <c r="F12" i="1" s="1"/>
  <c r="G12" i="1" s="1"/>
  <c r="E9" i="1"/>
  <c r="F9" i="1" s="1"/>
  <c r="G9" i="1" s="1"/>
  <c r="E3" i="1"/>
  <c r="F3" i="1" s="1"/>
  <c r="G3" i="1" s="1"/>
  <c r="E7" i="1"/>
  <c r="F7" i="1" s="1"/>
  <c r="G7" i="1" s="1"/>
  <c r="E8" i="1"/>
  <c r="F8" i="1" s="1"/>
  <c r="G8" i="1" s="1"/>
  <c r="D38" i="1"/>
  <c r="D23" i="1"/>
  <c r="D103" i="1" s="1"/>
  <c r="K39" i="1" l="1"/>
  <c r="J40" i="1"/>
  <c r="J42" i="1" s="1"/>
  <c r="J44" i="1" s="1"/>
  <c r="M17" i="1"/>
  <c r="M33" i="1"/>
  <c r="M36" i="1" s="1"/>
  <c r="N13" i="1"/>
  <c r="N15" i="1" s="1"/>
  <c r="N16" i="1" s="1"/>
  <c r="E10" i="1"/>
  <c r="D91" i="1"/>
  <c r="D27" i="1"/>
  <c r="E38" i="1"/>
  <c r="E62" i="1"/>
  <c r="E61" i="1"/>
  <c r="D13" i="1"/>
  <c r="E23" i="1"/>
  <c r="E103" i="1" s="1"/>
  <c r="G5" i="1"/>
  <c r="D5" i="1"/>
  <c r="E5" i="1"/>
  <c r="F5" i="1"/>
  <c r="L39" i="1" l="1"/>
  <c r="K40" i="1"/>
  <c r="K42" i="1" s="1"/>
  <c r="K44" i="1" s="1"/>
  <c r="N17" i="1"/>
  <c r="N33" i="1"/>
  <c r="N36" i="1" s="1"/>
  <c r="O13" i="1"/>
  <c r="O15" i="1" s="1"/>
  <c r="D94" i="1"/>
  <c r="E27" i="1"/>
  <c r="E28" i="1" s="1"/>
  <c r="D28" i="1"/>
  <c r="F38" i="1"/>
  <c r="F10" i="1"/>
  <c r="F13" i="1" s="1"/>
  <c r="F15" i="1" s="1"/>
  <c r="F16" i="1" s="1"/>
  <c r="F33" i="1" s="1"/>
  <c r="F36" i="1" s="1"/>
  <c r="E91" i="1"/>
  <c r="E94" i="1" s="1"/>
  <c r="D65" i="1"/>
  <c r="D77" i="1" s="1"/>
  <c r="E13" i="1"/>
  <c r="E15" i="1" s="1"/>
  <c r="E16" i="1" s="1"/>
  <c r="E33" i="1" s="1"/>
  <c r="E36" i="1" s="1"/>
  <c r="D15" i="1"/>
  <c r="D16" i="1" s="1"/>
  <c r="D33" i="1" s="1"/>
  <c r="D36" i="1" s="1"/>
  <c r="F23" i="1"/>
  <c r="F103" i="1" s="1"/>
  <c r="E24" i="1"/>
  <c r="M39" i="1" l="1"/>
  <c r="L40" i="1"/>
  <c r="L42" i="1" s="1"/>
  <c r="L44" i="1" s="1"/>
  <c r="P13" i="1"/>
  <c r="P15" i="1" s="1"/>
  <c r="P16" i="1" s="1"/>
  <c r="O16" i="1"/>
  <c r="O33" i="1" s="1"/>
  <c r="O36" i="1" s="1"/>
  <c r="O17" i="1"/>
  <c r="F27" i="1"/>
  <c r="F28" i="1" s="1"/>
  <c r="G10" i="1"/>
  <c r="F91" i="1"/>
  <c r="F94" i="1" s="1"/>
  <c r="G38" i="1"/>
  <c r="D17" i="1"/>
  <c r="D90" i="1" s="1"/>
  <c r="D92" i="1" s="1"/>
  <c r="E30" i="1"/>
  <c r="F17" i="1"/>
  <c r="F90" i="1" s="1"/>
  <c r="F24" i="1"/>
  <c r="G23" i="1"/>
  <c r="E17" i="1"/>
  <c r="E90" i="1" s="1"/>
  <c r="N39" i="1" l="1"/>
  <c r="M40" i="1"/>
  <c r="M42" i="1" s="1"/>
  <c r="M44" i="1" s="1"/>
  <c r="P17" i="1"/>
  <c r="P33" i="1"/>
  <c r="P36" i="1" s="1"/>
  <c r="Q13" i="1"/>
  <c r="Q15" i="1" s="1"/>
  <c r="G103" i="1"/>
  <c r="F92" i="1"/>
  <c r="E92" i="1"/>
  <c r="D95" i="1"/>
  <c r="D93" i="1"/>
  <c r="G24" i="1"/>
  <c r="D67" i="1"/>
  <c r="G91" i="1"/>
  <c r="G94" i="1" s="1"/>
  <c r="G13" i="1"/>
  <c r="G15" i="1" s="1"/>
  <c r="G27" i="1"/>
  <c r="G28" i="1" s="1"/>
  <c r="D39" i="1"/>
  <c r="D40" i="1" s="1"/>
  <c r="D42" i="1" s="1"/>
  <c r="F30" i="1"/>
  <c r="G30" i="1"/>
  <c r="O39" i="1" l="1"/>
  <c r="N40" i="1"/>
  <c r="N42" i="1" s="1"/>
  <c r="N44" i="1" s="1"/>
  <c r="R13" i="1"/>
  <c r="R15" i="1" s="1"/>
  <c r="R16" i="1" s="1"/>
  <c r="Q16" i="1"/>
  <c r="E95" i="1"/>
  <c r="E93" i="1"/>
  <c r="F95" i="1"/>
  <c r="F93" i="1"/>
  <c r="G16" i="1"/>
  <c r="G33" i="1" s="1"/>
  <c r="G36" i="1" s="1"/>
  <c r="E39" i="1"/>
  <c r="E40" i="1" s="1"/>
  <c r="E42" i="1" s="1"/>
  <c r="Q17" i="1" l="1"/>
  <c r="Q33" i="1"/>
  <c r="Q36" i="1" s="1"/>
  <c r="P39" i="1"/>
  <c r="O40" i="1"/>
  <c r="O42" i="1" s="1"/>
  <c r="O44" i="1" s="1"/>
  <c r="R17" i="1"/>
  <c r="R33" i="1"/>
  <c r="R36" i="1" s="1"/>
  <c r="S13" i="1"/>
  <c r="S15" i="1" s="1"/>
  <c r="S16" i="1" s="1"/>
  <c r="F39" i="1"/>
  <c r="F40" i="1" s="1"/>
  <c r="F42" i="1" s="1"/>
  <c r="F44" i="1" s="1"/>
  <c r="G17" i="1"/>
  <c r="D73" i="1" s="1"/>
  <c r="G90" i="1"/>
  <c r="E44" i="1"/>
  <c r="S17" i="1" l="1"/>
  <c r="S33" i="1"/>
  <c r="S36" i="1" s="1"/>
  <c r="Q39" i="1"/>
  <c r="P40" i="1"/>
  <c r="P42" i="1" s="1"/>
  <c r="P44" i="1" s="1"/>
  <c r="T13" i="1"/>
  <c r="T15" i="1" s="1"/>
  <c r="T16" i="1" s="1"/>
  <c r="G92" i="1"/>
  <c r="G39" i="1"/>
  <c r="D68" i="1" s="1"/>
  <c r="R39" i="1" l="1"/>
  <c r="Q40" i="1"/>
  <c r="Q42" i="1" s="1"/>
  <c r="Q44" i="1" s="1"/>
  <c r="T17" i="1"/>
  <c r="T33" i="1"/>
  <c r="T36" i="1" s="1"/>
  <c r="V13" i="1"/>
  <c r="V15" i="1" s="1"/>
  <c r="V16" i="1" s="1"/>
  <c r="U13" i="1"/>
  <c r="U15" i="1" s="1"/>
  <c r="U16" i="1" s="1"/>
  <c r="G95" i="1"/>
  <c r="G93" i="1"/>
  <c r="G40" i="1"/>
  <c r="G42" i="1" s="1"/>
  <c r="G44" i="1" s="1"/>
  <c r="D69" i="1"/>
  <c r="D71" i="1" s="1"/>
  <c r="D24" i="1"/>
  <c r="D30" i="1" s="1"/>
  <c r="V17" i="1" l="1"/>
  <c r="V33" i="1"/>
  <c r="V36" i="1" s="1"/>
  <c r="S39" i="1"/>
  <c r="R40" i="1"/>
  <c r="R42" i="1" s="1"/>
  <c r="R44" i="1" s="1"/>
  <c r="U17" i="1"/>
  <c r="U33" i="1"/>
  <c r="U36" i="1" s="1"/>
  <c r="D81" i="1"/>
  <c r="D78" i="1"/>
  <c r="D44" i="1"/>
  <c r="T39" i="1" l="1"/>
  <c r="S40" i="1"/>
  <c r="S42" i="1" s="1"/>
  <c r="S44" i="1" s="1"/>
  <c r="D86" i="1"/>
  <c r="D88" i="1" s="1"/>
  <c r="D84" i="1"/>
  <c r="U39" i="1" l="1"/>
  <c r="T40" i="1"/>
  <c r="T42" i="1" s="1"/>
  <c r="T44" i="1" s="1"/>
  <c r="E114" i="1"/>
  <c r="F114" i="1"/>
  <c r="G114" i="1"/>
  <c r="D114" i="1"/>
  <c r="V39" i="1" l="1"/>
  <c r="V40" i="1" s="1"/>
  <c r="V42" i="1" s="1"/>
  <c r="V44" i="1" s="1"/>
  <c r="U40" i="1"/>
  <c r="U42" i="1" s="1"/>
  <c r="U44" i="1" s="1"/>
</calcChain>
</file>

<file path=xl/sharedStrings.xml><?xml version="1.0" encoding="utf-8"?>
<sst xmlns="http://schemas.openxmlformats.org/spreadsheetml/2006/main" count="114" uniqueCount="106">
  <si>
    <t>Income Statement</t>
  </si>
  <si>
    <t>Net Sales</t>
  </si>
  <si>
    <t>COGS</t>
  </si>
  <si>
    <t>Gross Profit</t>
  </si>
  <si>
    <t>Other Expenses</t>
  </si>
  <si>
    <t>Marketing Expenses</t>
  </si>
  <si>
    <t>Utilities</t>
  </si>
  <si>
    <t>G&amp;A expenses</t>
  </si>
  <si>
    <t>Depreciation</t>
  </si>
  <si>
    <t>Net Interest Expense</t>
  </si>
  <si>
    <t>Building Matience</t>
  </si>
  <si>
    <t>Other Expenses Total</t>
  </si>
  <si>
    <t>Pre-tax Income</t>
  </si>
  <si>
    <t>Income Taxes</t>
  </si>
  <si>
    <t>Net Income</t>
  </si>
  <si>
    <t>Balance Sheet</t>
  </si>
  <si>
    <t xml:space="preserve"> Assets </t>
  </si>
  <si>
    <t xml:space="preserve"> Cash </t>
  </si>
  <si>
    <t xml:space="preserve"> Accounts receivable </t>
  </si>
  <si>
    <t xml:space="preserve"> Total Current Assets </t>
  </si>
  <si>
    <t xml:space="preserve"> Gross plant &amp; equipment </t>
  </si>
  <si>
    <t xml:space="preserve"> Accumulated depreciation </t>
  </si>
  <si>
    <t xml:space="preserve"> Net plant &amp; equipment </t>
  </si>
  <si>
    <t xml:space="preserve"> Total assets </t>
  </si>
  <si>
    <t xml:space="preserve"> Liabilities and shareholder's equity </t>
  </si>
  <si>
    <t>Income Tax Payable</t>
  </si>
  <si>
    <t xml:space="preserve"> Long-term debt </t>
  </si>
  <si>
    <t xml:space="preserve"> Retained Earnings </t>
  </si>
  <si>
    <t xml:space="preserve"> Total shareholder's equity </t>
  </si>
  <si>
    <t xml:space="preserve"> Total liabilities and shareholder's equity </t>
  </si>
  <si>
    <t>Diff</t>
  </si>
  <si>
    <t>Private Equity</t>
  </si>
  <si>
    <t>Revenue is 70% occupancy with current pricing scheme</t>
  </si>
  <si>
    <t>All fixed cost as far as we could tell</t>
  </si>
  <si>
    <t>Marketing expenses are for internet and yellow pages</t>
  </si>
  <si>
    <t>Grows 20% each year</t>
  </si>
  <si>
    <t>Utlities are for house on property</t>
  </si>
  <si>
    <t>Grows for future security systems to be installed</t>
  </si>
  <si>
    <t>G&amp;A expense for the managers salary minus "free rent" for manager</t>
  </si>
  <si>
    <t>Total cost of project devided by 50 year useful life</t>
  </si>
  <si>
    <t>Net interest expense is taken from amortization schedule on separte sheet not attached</t>
  </si>
  <si>
    <t>Building maintence is estimated cost of snow removal and repairs on property</t>
  </si>
  <si>
    <t>Accounts recievable is for 15 days of lead time</t>
  </si>
  <si>
    <t>Gross PP and E is cost of investment</t>
  </si>
  <si>
    <t>Income tax payable is for half the years income tax</t>
  </si>
  <si>
    <t>Long term debt is 60% of property</t>
  </si>
  <si>
    <t>40% downpayment of private equity</t>
  </si>
  <si>
    <t>WACC</t>
  </si>
  <si>
    <t>CAPM for the return equity holders want</t>
  </si>
  <si>
    <t>Beta</t>
  </si>
  <si>
    <t>T-Bill rate</t>
  </si>
  <si>
    <t>S&amp;P 500 rate</t>
  </si>
  <si>
    <t>Risk premium of S&amp;P(above tbills)</t>
  </si>
  <si>
    <t>Risk premium of this Stock</t>
  </si>
  <si>
    <t>Actual return on my stock (CAPM)</t>
  </si>
  <si>
    <t>Prop</t>
  </si>
  <si>
    <t>Cost/int rate</t>
  </si>
  <si>
    <t>cost of debt</t>
  </si>
  <si>
    <t>Mortgage</t>
  </si>
  <si>
    <t>cost of equity</t>
  </si>
  <si>
    <t>Bank Loans</t>
  </si>
  <si>
    <t>total debt</t>
  </si>
  <si>
    <t>Total cost of debt</t>
  </si>
  <si>
    <t>Retained Earnings</t>
  </si>
  <si>
    <t>Total Shareholder Equity</t>
  </si>
  <si>
    <t>Cost of Equity</t>
  </si>
  <si>
    <t>Total Liab and Equity</t>
  </si>
  <si>
    <t xml:space="preserve">Beta </t>
  </si>
  <si>
    <t>Prop of debt</t>
  </si>
  <si>
    <t>tax rate</t>
  </si>
  <si>
    <t>prop of equity</t>
  </si>
  <si>
    <t>return on debt*prop of debt*(1-tax rate)+return on equity * prop of equity</t>
  </si>
  <si>
    <t>unlevered</t>
  </si>
  <si>
    <t>relevered</t>
  </si>
  <si>
    <t>Total Liabilities</t>
  </si>
  <si>
    <t>For WACC</t>
  </si>
  <si>
    <t>and a REIT solely dedicated to storage units and averaged those BETA's</t>
  </si>
  <si>
    <t>To choose our beta we researched some storage unit companys that are public</t>
  </si>
  <si>
    <t>To choose our S&amp;P Rates we did the same thing.  We looked at average return for the past 20 years</t>
  </si>
  <si>
    <t xml:space="preserve">  We looked up the average t-bill rate for the past 20 years as well</t>
  </si>
  <si>
    <t xml:space="preserve">Comparable companies- REIT- Public Storage (PSA), </t>
  </si>
  <si>
    <t>Extra Space Storage(EXR)</t>
  </si>
  <si>
    <t>Debt/equity</t>
  </si>
  <si>
    <t>Savvron Space(SSS)</t>
  </si>
  <si>
    <t>Levered Betas</t>
  </si>
  <si>
    <t>Operating Profit</t>
  </si>
  <si>
    <t>Total Free Cash Flows</t>
  </si>
  <si>
    <t>PV</t>
  </si>
  <si>
    <t>NPV</t>
  </si>
  <si>
    <t>IRR</t>
  </si>
  <si>
    <t>Building</t>
  </si>
  <si>
    <t>Sell of Building</t>
  </si>
  <si>
    <t>Cash from Operations</t>
  </si>
  <si>
    <t>Less: Depreciation</t>
  </si>
  <si>
    <t>Taxable Operating Income</t>
  </si>
  <si>
    <t>Income Tax on Operations</t>
  </si>
  <si>
    <t>Add back: Depreciation</t>
  </si>
  <si>
    <t>Cash From Operations</t>
  </si>
  <si>
    <t>Capital Expenditures</t>
  </si>
  <si>
    <t>Changes in Working Capital</t>
  </si>
  <si>
    <t>-</t>
  </si>
  <si>
    <t>Accounts Receivable</t>
  </si>
  <si>
    <t>+</t>
  </si>
  <si>
    <t>Liquidation of Working Capital</t>
  </si>
  <si>
    <t>Interst rate on Debt is 5.05% (zions bank quote with 40% down)</t>
  </si>
  <si>
    <t>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</si>
</sst>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\$* #,##0_);_(\$* \(#,##0\);_(\$* \-??_);_(@_)"/>
    <numFmt numFmtId="165" formatCode="0.0%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3" fillId="0" borderId="0" xfId="3"/>
    <xf numFmtId="44" fontId="0" fillId="0" borderId="0" xfId="0" applyNumberFormat="1"/>
    <xf numFmtId="44" fontId="0" fillId="0" borderId="1" xfId="0" applyNumberFormat="1" applyBorder="1"/>
    <xf numFmtId="10" fontId="1" fillId="0" borderId="0" xfId="2" applyNumberFormat="1"/>
    <xf numFmtId="44" fontId="0" fillId="0" borderId="0" xfId="1" applyFont="1"/>
    <xf numFmtId="164" fontId="3" fillId="0" borderId="0" xfId="1" applyNumberFormat="1" applyFont="1" applyFill="1" applyBorder="1" applyAlignment="1" applyProtection="1"/>
    <xf numFmtId="44" fontId="1" fillId="0" borderId="0" xfId="1"/>
    <xf numFmtId="0" fontId="0" fillId="0" borderId="0" xfId="0" applyBorder="1"/>
    <xf numFmtId="0" fontId="0" fillId="0" borderId="1" xfId="0" applyBorder="1"/>
    <xf numFmtId="0" fontId="4" fillId="0" borderId="0" xfId="3" applyFont="1"/>
    <xf numFmtId="164" fontId="4" fillId="0" borderId="0" xfId="1" applyNumberFormat="1" applyFont="1" applyFill="1" applyBorder="1" applyAlignment="1" applyProtection="1"/>
    <xf numFmtId="44" fontId="4" fillId="0" borderId="0" xfId="3" applyNumberFormat="1" applyFont="1"/>
    <xf numFmtId="44" fontId="3" fillId="0" borderId="0" xfId="1" applyFont="1"/>
    <xf numFmtId="44" fontId="0" fillId="0" borderId="0" xfId="0" applyNumberFormat="1" applyFill="1"/>
    <xf numFmtId="10" fontId="0" fillId="0" borderId="0" xfId="2" applyNumberFormat="1" applyFont="1"/>
    <xf numFmtId="0" fontId="6" fillId="0" borderId="0" xfId="3" applyFont="1"/>
    <xf numFmtId="10" fontId="3" fillId="0" borderId="0" xfId="2" applyNumberFormat="1" applyFont="1" applyFill="1" applyBorder="1" applyAlignment="1" applyProtection="1"/>
    <xf numFmtId="0" fontId="3" fillId="0" borderId="0" xfId="3" applyFont="1"/>
    <xf numFmtId="165" fontId="3" fillId="0" borderId="0" xfId="2" applyNumberFormat="1" applyFont="1" applyFill="1" applyBorder="1" applyAlignment="1" applyProtection="1"/>
    <xf numFmtId="164" fontId="0" fillId="0" borderId="0" xfId="0" applyNumberFormat="1"/>
    <xf numFmtId="165" fontId="0" fillId="0" borderId="0" xfId="2" applyNumberFormat="1" applyFont="1"/>
    <xf numFmtId="0" fontId="3" fillId="0" borderId="0" xfId="3" applyFill="1"/>
    <xf numFmtId="164" fontId="0" fillId="0" borderId="1" xfId="0" applyNumberFormat="1" applyBorder="1"/>
    <xf numFmtId="10" fontId="0" fillId="0" borderId="0" xfId="0" applyNumberFormat="1"/>
    <xf numFmtId="0" fontId="7" fillId="0" borderId="0" xfId="3" applyFont="1"/>
    <xf numFmtId="9" fontId="0" fillId="0" borderId="0" xfId="2" applyFont="1"/>
    <xf numFmtId="0" fontId="8" fillId="0" borderId="0" xfId="3" applyFont="1"/>
    <xf numFmtId="9" fontId="0" fillId="0" borderId="0" xfId="2" applyNumberFormat="1" applyFont="1"/>
    <xf numFmtId="10" fontId="5" fillId="0" borderId="0" xfId="0" applyNumberFormat="1" applyFont="1"/>
    <xf numFmtId="2" fontId="5" fillId="0" borderId="0" xfId="0" applyNumberFormat="1" applyFont="1"/>
    <xf numFmtId="2" fontId="7" fillId="0" borderId="0" xfId="3" applyNumberFormat="1" applyFont="1"/>
    <xf numFmtId="0" fontId="7" fillId="0" borderId="0" xfId="3" applyFont="1" applyFill="1"/>
    <xf numFmtId="8" fontId="0" fillId="0" borderId="0" xfId="0" applyNumberFormat="1"/>
    <xf numFmtId="9" fontId="0" fillId="0" borderId="0" xfId="0" applyNumberFormat="1"/>
    <xf numFmtId="0" fontId="0" fillId="2" borderId="4" xfId="0" applyFill="1" applyBorder="1"/>
    <xf numFmtId="8" fontId="0" fillId="2" borderId="5" xfId="0" applyNumberFormat="1" applyFill="1" applyBorder="1"/>
    <xf numFmtId="0" fontId="0" fillId="2" borderId="6" xfId="0" applyFill="1" applyBorder="1"/>
    <xf numFmtId="0" fontId="0" fillId="0" borderId="0" xfId="0" applyFill="1"/>
    <xf numFmtId="44" fontId="0" fillId="0" borderId="0" xfId="1" applyFont="1" applyFill="1"/>
    <xf numFmtId="0" fontId="0" fillId="0" borderId="3" xfId="0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3" fillId="0" borderId="0" xfId="3" quotePrefix="1"/>
    <xf numFmtId="0" fontId="3" fillId="0" borderId="2" xfId="3" applyFill="1" applyBorder="1"/>
    <xf numFmtId="44" fontId="3" fillId="0" borderId="0" xfId="3" applyNumberFormat="1" applyFill="1"/>
    <xf numFmtId="44" fontId="3" fillId="0" borderId="0" xfId="1" applyNumberFormat="1" applyFont="1" applyFill="1" applyBorder="1" applyAlignment="1" applyProtection="1"/>
    <xf numFmtId="44" fontId="1" fillId="0" borderId="0" xfId="2" applyNumberFormat="1" applyFill="1"/>
    <xf numFmtId="44" fontId="0" fillId="0" borderId="0" xfId="1" applyNumberFormat="1" applyFont="1" applyFill="1"/>
    <xf numFmtId="44" fontId="0" fillId="0" borderId="1" xfId="1" applyNumberFormat="1" applyFont="1" applyFill="1" applyBorder="1"/>
    <xf numFmtId="44" fontId="3" fillId="0" borderId="0" xfId="3" applyNumberFormat="1"/>
    <xf numFmtId="44" fontId="1" fillId="0" borderId="0" xfId="2" applyNumberFormat="1"/>
    <xf numFmtId="0" fontId="0" fillId="0" borderId="1" xfId="0" applyFill="1" applyBorder="1"/>
    <xf numFmtId="44" fontId="0" fillId="0" borderId="0" xfId="1" applyFont="1" applyFill="1" applyBorder="1"/>
    <xf numFmtId="44" fontId="0" fillId="0" borderId="1" xfId="0" applyNumberFormat="1" applyFill="1" applyBorder="1"/>
    <xf numFmtId="44" fontId="4" fillId="0" borderId="0" xfId="3" applyNumberFormat="1" applyFont="1" applyFill="1"/>
    <xf numFmtId="44" fontId="3" fillId="0" borderId="0" xfId="1" applyFont="1" applyFill="1"/>
    <xf numFmtId="10" fontId="0" fillId="2" borderId="7" xfId="0" applyNumberFormat="1" applyFill="1" applyBorder="1"/>
    <xf numFmtId="8" fontId="0" fillId="0" borderId="0" xfId="0" applyNumberFormat="1" applyFill="1"/>
    <xf numFmtId="44" fontId="8" fillId="0" borderId="0" xfId="1" applyNumberFormat="1" applyFont="1" applyFill="1"/>
    <xf numFmtId="166" fontId="0" fillId="0" borderId="0" xfId="0" applyNumberFormat="1"/>
    <xf numFmtId="166" fontId="0" fillId="0" borderId="0" xfId="0" applyNumberForma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">
    <cellStyle name="Currency" xfId="1" builtinId="4"/>
    <cellStyle name="Excel Built-in Normal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tabSelected="1" zoomScale="80" zoomScaleNormal="80" workbookViewId="0"/>
  </sheetViews>
  <sheetFormatPr defaultRowHeight="15" x14ac:dyDescent="0.25"/>
  <cols>
    <col min="1" max="1" width="2.7109375" customWidth="1"/>
    <col min="2" max="2" width="34" customWidth="1"/>
    <col min="3" max="3" width="16.85546875" customWidth="1"/>
    <col min="4" max="4" width="16.140625" customWidth="1"/>
    <col min="5" max="5" width="16.28515625" customWidth="1"/>
    <col min="6" max="6" width="17.5703125" customWidth="1"/>
    <col min="7" max="7" width="17" customWidth="1"/>
    <col min="8" max="8" width="15.140625" style="38" bestFit="1" customWidth="1"/>
    <col min="9" max="9" width="15.7109375" customWidth="1"/>
    <col min="10" max="12" width="15.140625" bestFit="1" customWidth="1"/>
    <col min="13" max="13" width="15.140625" style="38" bestFit="1" customWidth="1"/>
    <col min="14" max="18" width="15.140625" bestFit="1" customWidth="1"/>
    <col min="19" max="19" width="15.140625" style="38" bestFit="1" customWidth="1"/>
    <col min="20" max="21" width="15.140625" bestFit="1" customWidth="1"/>
    <col min="22" max="22" width="15.140625" style="38" bestFit="1" customWidth="1"/>
  </cols>
  <sheetData>
    <row r="1" spans="1:22" ht="19.5" x14ac:dyDescent="0.25">
      <c r="C1" s="62" t="s">
        <v>0</v>
      </c>
      <c r="D1" s="62"/>
      <c r="E1" s="62"/>
      <c r="F1" s="62"/>
      <c r="G1" s="62"/>
      <c r="H1" s="44"/>
      <c r="I1" s="44"/>
      <c r="J1" s="44"/>
      <c r="K1" s="44"/>
      <c r="L1" s="44"/>
      <c r="M1" s="44"/>
      <c r="N1" s="44"/>
      <c r="O1" s="44"/>
      <c r="P1" s="44"/>
      <c r="Q1" s="52"/>
      <c r="R1" s="9"/>
      <c r="S1" s="52"/>
      <c r="T1" s="9"/>
      <c r="U1" s="9"/>
      <c r="V1" s="52"/>
    </row>
    <row r="2" spans="1:22" x14ac:dyDescent="0.25">
      <c r="D2">
        <v>2012</v>
      </c>
      <c r="E2">
        <v>2013</v>
      </c>
      <c r="F2">
        <v>2014</v>
      </c>
      <c r="G2">
        <v>2015</v>
      </c>
      <c r="H2" s="38">
        <v>2016</v>
      </c>
      <c r="I2">
        <v>2017</v>
      </c>
      <c r="J2">
        <v>2018</v>
      </c>
      <c r="K2">
        <v>2019</v>
      </c>
      <c r="L2">
        <v>2020</v>
      </c>
      <c r="M2" s="38">
        <v>2021</v>
      </c>
      <c r="N2">
        <v>2022</v>
      </c>
      <c r="O2">
        <v>2023</v>
      </c>
      <c r="P2">
        <v>2024</v>
      </c>
      <c r="Q2">
        <v>2025</v>
      </c>
      <c r="R2">
        <v>2026</v>
      </c>
      <c r="S2" s="38">
        <v>2027</v>
      </c>
      <c r="T2">
        <v>2028</v>
      </c>
      <c r="U2">
        <v>2029</v>
      </c>
      <c r="V2" s="38">
        <v>2030</v>
      </c>
    </row>
    <row r="3" spans="1:22" x14ac:dyDescent="0.25">
      <c r="A3" t="s">
        <v>1</v>
      </c>
      <c r="D3" s="2">
        <v>117080</v>
      </c>
      <c r="E3" s="2">
        <f>D3*0.98</f>
        <v>114738.4</v>
      </c>
      <c r="F3" s="2">
        <f>E3*0.98</f>
        <v>112443.632</v>
      </c>
      <c r="G3" s="2">
        <f>F3*0.98</f>
        <v>110194.75936</v>
      </c>
      <c r="H3" s="45">
        <v>120000</v>
      </c>
      <c r="I3" s="59">
        <f>H3*0.99</f>
        <v>118800</v>
      </c>
      <c r="J3" s="59">
        <f t="shared" ref="J3:L3" si="0">I3*0.99</f>
        <v>117612</v>
      </c>
      <c r="K3" s="59">
        <f t="shared" si="0"/>
        <v>116435.88</v>
      </c>
      <c r="L3" s="59">
        <f t="shared" si="0"/>
        <v>115271.5212</v>
      </c>
      <c r="M3" s="45">
        <f>120000</f>
        <v>120000</v>
      </c>
      <c r="N3" s="45">
        <f>M3*0.98</f>
        <v>117600</v>
      </c>
      <c r="O3" s="45">
        <f t="shared" ref="O3:R3" si="1">N3*0.98</f>
        <v>115248</v>
      </c>
      <c r="P3" s="45">
        <f t="shared" si="1"/>
        <v>112943.03999999999</v>
      </c>
      <c r="Q3" s="45">
        <f t="shared" si="1"/>
        <v>110684.1792</v>
      </c>
      <c r="R3" s="45">
        <f t="shared" si="1"/>
        <v>108470.495616</v>
      </c>
      <c r="S3" s="14">
        <v>120000</v>
      </c>
      <c r="T3" s="45">
        <f>S3*0.97</f>
        <v>116400</v>
      </c>
      <c r="U3" s="45">
        <f t="shared" ref="U3:V3" si="2">T3*0.97</f>
        <v>112908</v>
      </c>
      <c r="V3" s="45">
        <f t="shared" si="2"/>
        <v>109520.76</v>
      </c>
    </row>
    <row r="4" spans="1:22" x14ac:dyDescent="0.25">
      <c r="A4" t="s">
        <v>2</v>
      </c>
      <c r="D4" s="3"/>
      <c r="E4" s="3"/>
      <c r="F4" s="3"/>
      <c r="G4" s="3"/>
      <c r="H4" s="54"/>
      <c r="I4" s="3"/>
      <c r="J4" s="3"/>
      <c r="K4" s="3"/>
      <c r="L4" s="3"/>
      <c r="M4" s="54"/>
      <c r="N4" s="3"/>
      <c r="O4" s="3"/>
      <c r="P4" s="3"/>
      <c r="Q4" s="3"/>
      <c r="R4" s="3"/>
      <c r="S4" s="54"/>
      <c r="T4" s="3"/>
      <c r="U4" s="3"/>
      <c r="V4" s="54"/>
    </row>
    <row r="5" spans="1:22" x14ac:dyDescent="0.25">
      <c r="A5" t="s">
        <v>3</v>
      </c>
      <c r="D5" s="2">
        <f>D3-D4</f>
        <v>117080</v>
      </c>
      <c r="E5" s="2">
        <f>E3-E4</f>
        <v>114738.4</v>
      </c>
      <c r="F5" s="2">
        <f>F3-F4</f>
        <v>112443.632</v>
      </c>
      <c r="G5" s="2">
        <f>G3-G4</f>
        <v>110194.75936</v>
      </c>
      <c r="H5" s="14">
        <f t="shared" ref="H5:V5" si="3">H3-H4</f>
        <v>120000</v>
      </c>
      <c r="I5" s="2">
        <f t="shared" si="3"/>
        <v>118800</v>
      </c>
      <c r="J5" s="2">
        <f t="shared" si="3"/>
        <v>117612</v>
      </c>
      <c r="K5" s="2">
        <f t="shared" si="3"/>
        <v>116435.88</v>
      </c>
      <c r="L5" s="2">
        <f t="shared" si="3"/>
        <v>115271.5212</v>
      </c>
      <c r="M5" s="14">
        <f t="shared" si="3"/>
        <v>120000</v>
      </c>
      <c r="N5" s="2">
        <f t="shared" si="3"/>
        <v>117600</v>
      </c>
      <c r="O5" s="2">
        <f t="shared" si="3"/>
        <v>115248</v>
      </c>
      <c r="P5" s="2">
        <f t="shared" si="3"/>
        <v>112943.03999999999</v>
      </c>
      <c r="Q5" s="2">
        <f t="shared" si="3"/>
        <v>110684.1792</v>
      </c>
      <c r="R5" s="2">
        <f t="shared" si="3"/>
        <v>108470.495616</v>
      </c>
      <c r="S5" s="14">
        <f t="shared" si="3"/>
        <v>120000</v>
      </c>
      <c r="T5" s="2">
        <f t="shared" si="3"/>
        <v>116400</v>
      </c>
      <c r="U5" s="2">
        <f t="shared" si="3"/>
        <v>112908</v>
      </c>
      <c r="V5" s="14">
        <f t="shared" si="3"/>
        <v>109520.76</v>
      </c>
    </row>
    <row r="6" spans="1:22" x14ac:dyDescent="0.25">
      <c r="A6" t="s">
        <v>4</v>
      </c>
      <c r="D6" s="2"/>
      <c r="E6" s="2"/>
      <c r="F6" s="2"/>
      <c r="G6" s="2"/>
      <c r="H6" s="46"/>
      <c r="I6" s="47"/>
      <c r="J6" s="45"/>
      <c r="K6" s="45"/>
      <c r="L6" s="45"/>
      <c r="M6" s="45"/>
      <c r="N6" s="45"/>
      <c r="O6" s="45"/>
      <c r="P6" s="45"/>
      <c r="Q6" s="14"/>
      <c r="R6" s="2"/>
      <c r="S6" s="14"/>
      <c r="T6" s="2"/>
      <c r="U6" s="2"/>
      <c r="V6" s="14"/>
    </row>
    <row r="7" spans="1:22" x14ac:dyDescent="0.25">
      <c r="B7" t="s">
        <v>5</v>
      </c>
      <c r="C7" s="38"/>
      <c r="D7" s="48">
        <v>2500</v>
      </c>
      <c r="E7" s="48">
        <f>D7*1.2</f>
        <v>3000</v>
      </c>
      <c r="F7" s="48">
        <f>E7*1.2</f>
        <v>3600</v>
      </c>
      <c r="G7" s="48">
        <f>F7*1.2</f>
        <v>4320</v>
      </c>
      <c r="H7" s="48">
        <f t="shared" ref="H7:L7" si="4">G7*1.2</f>
        <v>5184</v>
      </c>
      <c r="I7" s="48">
        <f t="shared" si="4"/>
        <v>6220.8</v>
      </c>
      <c r="J7" s="48">
        <f t="shared" si="4"/>
        <v>7464.96</v>
      </c>
      <c r="K7" s="48">
        <f t="shared" si="4"/>
        <v>8957.9519999999993</v>
      </c>
      <c r="L7" s="48">
        <f t="shared" si="4"/>
        <v>10749.542399999998</v>
      </c>
      <c r="M7" s="48">
        <f>L7</f>
        <v>10749.542399999998</v>
      </c>
      <c r="N7" s="48">
        <f t="shared" ref="N7:V7" si="5">M7</f>
        <v>10749.542399999998</v>
      </c>
      <c r="O7" s="48">
        <f t="shared" si="5"/>
        <v>10749.542399999998</v>
      </c>
      <c r="P7" s="48">
        <f t="shared" si="5"/>
        <v>10749.542399999998</v>
      </c>
      <c r="Q7" s="48">
        <f t="shared" si="5"/>
        <v>10749.542399999998</v>
      </c>
      <c r="R7" s="48">
        <f t="shared" si="5"/>
        <v>10749.542399999998</v>
      </c>
      <c r="S7" s="48">
        <f t="shared" si="5"/>
        <v>10749.542399999998</v>
      </c>
      <c r="T7" s="48">
        <f t="shared" si="5"/>
        <v>10749.542399999998</v>
      </c>
      <c r="U7" s="48">
        <f t="shared" si="5"/>
        <v>10749.542399999998</v>
      </c>
      <c r="V7" s="48">
        <f t="shared" si="5"/>
        <v>10749.542399999998</v>
      </c>
    </row>
    <row r="8" spans="1:22" x14ac:dyDescent="0.25">
      <c r="B8" t="s">
        <v>6</v>
      </c>
      <c r="C8" s="38"/>
      <c r="D8" s="48">
        <v>1000</v>
      </c>
      <c r="E8" s="48">
        <f>D8*1.1</f>
        <v>1100</v>
      </c>
      <c r="F8" s="48">
        <f>E8*1.1</f>
        <v>1210</v>
      </c>
      <c r="G8" s="48">
        <f>F8*1.1</f>
        <v>1331</v>
      </c>
      <c r="H8" s="48">
        <f t="shared" ref="H8:V8" si="6">G8*1.1</f>
        <v>1464.1000000000001</v>
      </c>
      <c r="I8" s="48">
        <f t="shared" si="6"/>
        <v>1610.5100000000002</v>
      </c>
      <c r="J8" s="48">
        <f t="shared" si="6"/>
        <v>1771.5610000000004</v>
      </c>
      <c r="K8" s="48">
        <f t="shared" si="6"/>
        <v>1948.7171000000005</v>
      </c>
      <c r="L8" s="48">
        <f t="shared" si="6"/>
        <v>2143.5888100000006</v>
      </c>
      <c r="M8" s="48">
        <f t="shared" si="6"/>
        <v>2357.9476910000008</v>
      </c>
      <c r="N8" s="48">
        <f t="shared" si="6"/>
        <v>2593.7424601000012</v>
      </c>
      <c r="O8" s="48">
        <f t="shared" si="6"/>
        <v>2853.1167061100014</v>
      </c>
      <c r="P8" s="48">
        <f t="shared" si="6"/>
        <v>3138.4283767210018</v>
      </c>
      <c r="Q8" s="48">
        <f t="shared" si="6"/>
        <v>3452.2712143931021</v>
      </c>
      <c r="R8" s="48">
        <f t="shared" si="6"/>
        <v>3797.4983358324125</v>
      </c>
      <c r="S8" s="48">
        <f t="shared" si="6"/>
        <v>4177.248169415654</v>
      </c>
      <c r="T8" s="48">
        <f t="shared" si="6"/>
        <v>4594.9729863572202</v>
      </c>
      <c r="U8" s="48">
        <f t="shared" si="6"/>
        <v>5054.4702849929427</v>
      </c>
      <c r="V8" s="48">
        <f t="shared" si="6"/>
        <v>5559.9173134922376</v>
      </c>
    </row>
    <row r="9" spans="1:22" x14ac:dyDescent="0.25">
      <c r="B9" t="s">
        <v>7</v>
      </c>
      <c r="C9" s="38"/>
      <c r="D9" s="48">
        <v>17000</v>
      </c>
      <c r="E9" s="48">
        <f>D9*1.05</f>
        <v>17850</v>
      </c>
      <c r="F9" s="48">
        <f>E9*1.05</f>
        <v>18742.5</v>
      </c>
      <c r="G9" s="48">
        <f>F9*1.05</f>
        <v>19679.625</v>
      </c>
      <c r="H9" s="48">
        <f t="shared" ref="H9:U9" si="7">G9*1.05</f>
        <v>20663.606250000001</v>
      </c>
      <c r="I9" s="48">
        <f t="shared" si="7"/>
        <v>21696.786562500001</v>
      </c>
      <c r="J9" s="48">
        <f t="shared" si="7"/>
        <v>22781.625890625004</v>
      </c>
      <c r="K9" s="48">
        <f t="shared" si="7"/>
        <v>23920.707185156254</v>
      </c>
      <c r="L9" s="48">
        <f t="shared" si="7"/>
        <v>25116.742544414068</v>
      </c>
      <c r="M9" s="48">
        <f t="shared" si="7"/>
        <v>26372.579671634772</v>
      </c>
      <c r="N9" s="48">
        <f t="shared" si="7"/>
        <v>27691.208655216513</v>
      </c>
      <c r="O9" s="48">
        <f t="shared" si="7"/>
        <v>29075.76908797734</v>
      </c>
      <c r="P9" s="48">
        <f t="shared" si="7"/>
        <v>30529.557542376209</v>
      </c>
      <c r="Q9" s="48">
        <f t="shared" si="7"/>
        <v>32056.03541949502</v>
      </c>
      <c r="R9" s="48">
        <f t="shared" si="7"/>
        <v>33658.837190469771</v>
      </c>
      <c r="S9" s="48">
        <f t="shared" si="7"/>
        <v>35341.77904999326</v>
      </c>
      <c r="T9" s="48">
        <f t="shared" si="7"/>
        <v>37108.868002492927</v>
      </c>
      <c r="U9" s="48">
        <f t="shared" si="7"/>
        <v>38964.311402617575</v>
      </c>
      <c r="V9" s="48">
        <f>U9</f>
        <v>38964.311402617575</v>
      </c>
    </row>
    <row r="10" spans="1:22" x14ac:dyDescent="0.25">
      <c r="B10" t="s">
        <v>8</v>
      </c>
      <c r="C10" s="38"/>
      <c r="D10" s="48">
        <f>1350000/50</f>
        <v>27000</v>
      </c>
      <c r="E10" s="48">
        <f>D10</f>
        <v>27000</v>
      </c>
      <c r="F10" s="48">
        <f>E10</f>
        <v>27000</v>
      </c>
      <c r="G10" s="48">
        <f>F10</f>
        <v>27000</v>
      </c>
      <c r="H10" s="48">
        <f t="shared" ref="H10:V10" si="8">G10</f>
        <v>27000</v>
      </c>
      <c r="I10" s="48">
        <f t="shared" si="8"/>
        <v>27000</v>
      </c>
      <c r="J10" s="48">
        <f t="shared" si="8"/>
        <v>27000</v>
      </c>
      <c r="K10" s="48">
        <f t="shared" si="8"/>
        <v>27000</v>
      </c>
      <c r="L10" s="48">
        <f t="shared" si="8"/>
        <v>27000</v>
      </c>
      <c r="M10" s="48">
        <f t="shared" si="8"/>
        <v>27000</v>
      </c>
      <c r="N10" s="48">
        <f t="shared" si="8"/>
        <v>27000</v>
      </c>
      <c r="O10" s="48">
        <f t="shared" si="8"/>
        <v>27000</v>
      </c>
      <c r="P10" s="48">
        <f t="shared" si="8"/>
        <v>27000</v>
      </c>
      <c r="Q10" s="48">
        <f t="shared" si="8"/>
        <v>27000</v>
      </c>
      <c r="R10" s="48">
        <f t="shared" si="8"/>
        <v>27000</v>
      </c>
      <c r="S10" s="48">
        <f t="shared" si="8"/>
        <v>27000</v>
      </c>
      <c r="T10" s="48">
        <f t="shared" si="8"/>
        <v>27000</v>
      </c>
      <c r="U10" s="48">
        <f t="shared" si="8"/>
        <v>27000</v>
      </c>
      <c r="V10" s="48">
        <f t="shared" si="8"/>
        <v>27000</v>
      </c>
    </row>
    <row r="11" spans="1:22" x14ac:dyDescent="0.25">
      <c r="B11" t="s">
        <v>9</v>
      </c>
      <c r="C11" s="38"/>
      <c r="D11" s="48">
        <v>48011.73</v>
      </c>
      <c r="E11" s="48">
        <v>46677.919999999998</v>
      </c>
      <c r="F11" s="48">
        <v>45261.85</v>
      </c>
      <c r="G11" s="48">
        <v>43758.44</v>
      </c>
      <c r="H11" s="46">
        <f>G11*0.95</f>
        <v>41570.518000000004</v>
      </c>
      <c r="I11" s="46">
        <f>H11*0.94</f>
        <v>39076.286919999999</v>
      </c>
      <c r="J11" s="46">
        <f>I11*0.92</f>
        <v>35950.1839664</v>
      </c>
      <c r="K11" s="46">
        <f>J11*0.9</f>
        <v>32355.16556976</v>
      </c>
      <c r="L11" s="46">
        <f>K11*0.88</f>
        <v>28472.545701388801</v>
      </c>
      <c r="M11" s="46">
        <f t="shared" ref="M11:O11" si="9">L11*0.88</f>
        <v>25055.840217222143</v>
      </c>
      <c r="N11" s="46">
        <f t="shared" si="9"/>
        <v>22049.139391155488</v>
      </c>
      <c r="O11" s="46">
        <f t="shared" si="9"/>
        <v>19403.242664216828</v>
      </c>
      <c r="P11" s="46">
        <f>O11*0.83</f>
        <v>16104.691411299968</v>
      </c>
      <c r="Q11" s="46">
        <f t="shared" ref="Q11:T11" si="10">P11*0.83</f>
        <v>13366.893871378972</v>
      </c>
      <c r="R11" s="46">
        <f t="shared" si="10"/>
        <v>11094.521913244545</v>
      </c>
      <c r="S11" s="46">
        <f t="shared" si="10"/>
        <v>9208.4531879929727</v>
      </c>
      <c r="T11" s="46">
        <f t="shared" si="10"/>
        <v>7643.0161460341669</v>
      </c>
      <c r="U11" s="46">
        <f>T11*0.8</f>
        <v>6114.4129168273339</v>
      </c>
      <c r="V11" s="46">
        <f>U11*0.8</f>
        <v>4891.5303334618675</v>
      </c>
    </row>
    <row r="12" spans="1:22" x14ac:dyDescent="0.25">
      <c r="B12" t="s">
        <v>10</v>
      </c>
      <c r="C12" s="38"/>
      <c r="D12" s="49">
        <v>5000</v>
      </c>
      <c r="E12" s="49">
        <f>D12</f>
        <v>5000</v>
      </c>
      <c r="F12" s="49">
        <f>E12</f>
        <v>5000</v>
      </c>
      <c r="G12" s="49">
        <f>F12</f>
        <v>5000</v>
      </c>
      <c r="H12" s="49">
        <f t="shared" ref="H12:V12" si="11">G12</f>
        <v>5000</v>
      </c>
      <c r="I12" s="49">
        <f t="shared" si="11"/>
        <v>5000</v>
      </c>
      <c r="J12" s="49">
        <f t="shared" si="11"/>
        <v>5000</v>
      </c>
      <c r="K12" s="49">
        <f t="shared" si="11"/>
        <v>5000</v>
      </c>
      <c r="L12" s="49">
        <f t="shared" si="11"/>
        <v>5000</v>
      </c>
      <c r="M12" s="49">
        <f t="shared" si="11"/>
        <v>5000</v>
      </c>
      <c r="N12" s="49">
        <f t="shared" si="11"/>
        <v>5000</v>
      </c>
      <c r="O12" s="49">
        <f t="shared" si="11"/>
        <v>5000</v>
      </c>
      <c r="P12" s="49">
        <f t="shared" si="11"/>
        <v>5000</v>
      </c>
      <c r="Q12" s="49">
        <f t="shared" si="11"/>
        <v>5000</v>
      </c>
      <c r="R12" s="49">
        <f t="shared" si="11"/>
        <v>5000</v>
      </c>
      <c r="S12" s="49">
        <f t="shared" si="11"/>
        <v>5000</v>
      </c>
      <c r="T12" s="49">
        <f t="shared" si="11"/>
        <v>5000</v>
      </c>
      <c r="U12" s="49">
        <f t="shared" si="11"/>
        <v>5000</v>
      </c>
      <c r="V12" s="49">
        <f t="shared" si="11"/>
        <v>5000</v>
      </c>
    </row>
    <row r="13" spans="1:22" x14ac:dyDescent="0.25">
      <c r="A13" t="s">
        <v>11</v>
      </c>
      <c r="C13" s="38"/>
      <c r="D13" s="48">
        <f>SUM(D7:D12)</f>
        <v>100511.73000000001</v>
      </c>
      <c r="E13" s="48">
        <f>SUM(E7:E12)</f>
        <v>100627.92</v>
      </c>
      <c r="F13" s="48">
        <f>SUM(F7:F12)</f>
        <v>100814.35</v>
      </c>
      <c r="G13" s="48">
        <f>SUM(G7:G12)</f>
        <v>101089.065</v>
      </c>
      <c r="H13" s="48">
        <f t="shared" ref="H13:V13" si="12">SUM(H7:H12)</f>
        <v>100882.22425</v>
      </c>
      <c r="I13" s="48">
        <f t="shared" si="12"/>
        <v>100604.38348250001</v>
      </c>
      <c r="J13" s="48">
        <f t="shared" si="12"/>
        <v>99968.330857025008</v>
      </c>
      <c r="K13" s="48">
        <f t="shared" si="12"/>
        <v>99182.541854916257</v>
      </c>
      <c r="L13" s="48">
        <f t="shared" si="12"/>
        <v>98482.419455802868</v>
      </c>
      <c r="M13" s="48">
        <f t="shared" si="12"/>
        <v>96535.909979856908</v>
      </c>
      <c r="N13" s="48">
        <f t="shared" si="12"/>
        <v>95083.632906472005</v>
      </c>
      <c r="O13" s="48">
        <f t="shared" si="12"/>
        <v>94081.670858304176</v>
      </c>
      <c r="P13" s="48">
        <f t="shared" si="12"/>
        <v>92522.219730397177</v>
      </c>
      <c r="Q13" s="48">
        <f t="shared" si="12"/>
        <v>91624.742905267092</v>
      </c>
      <c r="R13" s="48">
        <f t="shared" si="12"/>
        <v>91300.399839546735</v>
      </c>
      <c r="S13" s="48">
        <f t="shared" si="12"/>
        <v>91477.022807401881</v>
      </c>
      <c r="T13" s="48">
        <f t="shared" si="12"/>
        <v>92096.399534884302</v>
      </c>
      <c r="U13" s="48">
        <f t="shared" si="12"/>
        <v>92882.737004437848</v>
      </c>
      <c r="V13" s="48">
        <f t="shared" si="12"/>
        <v>92165.301449571678</v>
      </c>
    </row>
    <row r="14" spans="1:22" x14ac:dyDescent="0.25">
      <c r="C14" s="38"/>
      <c r="D14" s="48"/>
      <c r="E14" s="48"/>
      <c r="F14" s="48"/>
      <c r="G14" s="48"/>
      <c r="H14" s="45"/>
      <c r="I14" s="51"/>
      <c r="J14" s="50"/>
      <c r="K14" s="50"/>
      <c r="L14" s="50"/>
      <c r="M14" s="45"/>
      <c r="N14" s="50"/>
      <c r="O14" s="50"/>
      <c r="P14" s="50"/>
      <c r="Q14" s="2"/>
      <c r="R14" s="2"/>
      <c r="S14" s="14"/>
      <c r="T14" s="2"/>
      <c r="U14" s="2"/>
      <c r="V14" s="14"/>
    </row>
    <row r="15" spans="1:22" x14ac:dyDescent="0.25">
      <c r="A15" t="s">
        <v>12</v>
      </c>
      <c r="C15" s="38"/>
      <c r="D15" s="48">
        <f>D5-D13</f>
        <v>16568.26999999999</v>
      </c>
      <c r="E15" s="48">
        <f>E5-E13</f>
        <v>14110.479999999996</v>
      </c>
      <c r="F15" s="48">
        <f>F5-F13</f>
        <v>11629.281999999992</v>
      </c>
      <c r="G15" s="48">
        <f>G5-G13</f>
        <v>9105.694359999994</v>
      </c>
      <c r="H15" s="48">
        <f t="shared" ref="H15:V15" si="13">H5-H13</f>
        <v>19117.775750000001</v>
      </c>
      <c r="I15" s="48">
        <f t="shared" si="13"/>
        <v>18195.616517499991</v>
      </c>
      <c r="J15" s="48">
        <f t="shared" si="13"/>
        <v>17643.669142974992</v>
      </c>
      <c r="K15" s="48">
        <f t="shared" si="13"/>
        <v>17253.338145083748</v>
      </c>
      <c r="L15" s="48">
        <f t="shared" si="13"/>
        <v>16789.101744197134</v>
      </c>
      <c r="M15" s="48">
        <f t="shared" si="13"/>
        <v>23464.090020143092</v>
      </c>
      <c r="N15" s="48">
        <f t="shared" si="13"/>
        <v>22516.367093527995</v>
      </c>
      <c r="O15" s="48">
        <f t="shared" si="13"/>
        <v>21166.329141695824</v>
      </c>
      <c r="P15" s="48">
        <f t="shared" si="13"/>
        <v>20420.820269602817</v>
      </c>
      <c r="Q15" s="48">
        <f t="shared" si="13"/>
        <v>19059.436294732906</v>
      </c>
      <c r="R15" s="48">
        <f t="shared" si="13"/>
        <v>17170.095776453265</v>
      </c>
      <c r="S15" s="48">
        <f t="shared" si="13"/>
        <v>28522.977192598119</v>
      </c>
      <c r="T15" s="48">
        <f t="shared" si="13"/>
        <v>24303.600465115698</v>
      </c>
      <c r="U15" s="48">
        <f t="shared" si="13"/>
        <v>20025.262995562152</v>
      </c>
      <c r="V15" s="48">
        <f t="shared" si="13"/>
        <v>17355.458550428317</v>
      </c>
    </row>
    <row r="16" spans="1:22" x14ac:dyDescent="0.25">
      <c r="B16" t="s">
        <v>13</v>
      </c>
      <c r="C16" s="38"/>
      <c r="D16" s="49">
        <f>D15*0.2</f>
        <v>3313.6539999999982</v>
      </c>
      <c r="E16" s="49">
        <f t="shared" ref="E16:G16" si="14">E15*0.2</f>
        <v>2822.0959999999995</v>
      </c>
      <c r="F16" s="49">
        <f t="shared" si="14"/>
        <v>2325.8563999999983</v>
      </c>
      <c r="G16" s="49">
        <f t="shared" si="14"/>
        <v>1821.1388719999989</v>
      </c>
      <c r="H16" s="49">
        <f t="shared" ref="H16:V16" si="15">H15*0.2</f>
        <v>3823.5551500000001</v>
      </c>
      <c r="I16" s="49">
        <f t="shared" si="15"/>
        <v>3639.1233034999987</v>
      </c>
      <c r="J16" s="49">
        <f t="shared" si="15"/>
        <v>3528.7338285949986</v>
      </c>
      <c r="K16" s="49">
        <f t="shared" si="15"/>
        <v>3450.6676290167497</v>
      </c>
      <c r="L16" s="49">
        <f t="shared" si="15"/>
        <v>3357.820348839427</v>
      </c>
      <c r="M16" s="49">
        <f t="shared" si="15"/>
        <v>4692.8180040286188</v>
      </c>
      <c r="N16" s="49">
        <f t="shared" si="15"/>
        <v>4503.2734187055994</v>
      </c>
      <c r="O16" s="49">
        <f t="shared" si="15"/>
        <v>4233.2658283391647</v>
      </c>
      <c r="P16" s="49">
        <f t="shared" si="15"/>
        <v>4084.1640539205637</v>
      </c>
      <c r="Q16" s="49">
        <f t="shared" si="15"/>
        <v>3811.8872589465814</v>
      </c>
      <c r="R16" s="49">
        <f t="shared" si="15"/>
        <v>3434.0191552906531</v>
      </c>
      <c r="S16" s="49">
        <f t="shared" si="15"/>
        <v>5704.5954385196237</v>
      </c>
      <c r="T16" s="49">
        <f t="shared" si="15"/>
        <v>4860.7200930231402</v>
      </c>
      <c r="U16" s="49">
        <f t="shared" si="15"/>
        <v>4005.0525991124305</v>
      </c>
      <c r="V16" s="49">
        <f t="shared" si="15"/>
        <v>3471.0917100856636</v>
      </c>
    </row>
    <row r="17" spans="1:22" x14ac:dyDescent="0.25">
      <c r="A17" t="s">
        <v>14</v>
      </c>
      <c r="C17" s="38"/>
      <c r="D17" s="14">
        <f>D15-D16</f>
        <v>13254.615999999991</v>
      </c>
      <c r="E17" s="14">
        <f>E15-E16</f>
        <v>11288.383999999996</v>
      </c>
      <c r="F17" s="14">
        <f>F15-F16</f>
        <v>9303.4255999999932</v>
      </c>
      <c r="G17" s="14">
        <f>G15-G16</f>
        <v>7284.5554879999954</v>
      </c>
      <c r="H17" s="14">
        <f t="shared" ref="H17:V17" si="16">H15-H16</f>
        <v>15294.220600000001</v>
      </c>
      <c r="I17" s="14">
        <f t="shared" si="16"/>
        <v>14556.493213999993</v>
      </c>
      <c r="J17" s="14">
        <f t="shared" si="16"/>
        <v>14114.935314379993</v>
      </c>
      <c r="K17" s="14">
        <f t="shared" si="16"/>
        <v>13802.670516066999</v>
      </c>
      <c r="L17" s="14">
        <f t="shared" si="16"/>
        <v>13431.281395357708</v>
      </c>
      <c r="M17" s="14">
        <f t="shared" si="16"/>
        <v>18771.272016114475</v>
      </c>
      <c r="N17" s="14">
        <f t="shared" si="16"/>
        <v>18013.093674822398</v>
      </c>
      <c r="O17" s="14">
        <f t="shared" si="16"/>
        <v>16933.063313356659</v>
      </c>
      <c r="P17" s="14">
        <f t="shared" si="16"/>
        <v>16336.656215682253</v>
      </c>
      <c r="Q17" s="14">
        <f t="shared" si="16"/>
        <v>15247.549035786325</v>
      </c>
      <c r="R17" s="14">
        <f t="shared" si="16"/>
        <v>13736.076621162612</v>
      </c>
      <c r="S17" s="14">
        <f t="shared" si="16"/>
        <v>22818.381754078495</v>
      </c>
      <c r="T17" s="14">
        <f t="shared" si="16"/>
        <v>19442.880372092557</v>
      </c>
      <c r="U17" s="14">
        <f t="shared" si="16"/>
        <v>16020.210396449722</v>
      </c>
      <c r="V17" s="14">
        <f t="shared" si="16"/>
        <v>13884.366840342653</v>
      </c>
    </row>
    <row r="18" spans="1:22" x14ac:dyDescent="0.25">
      <c r="C18" s="38"/>
      <c r="D18" s="38"/>
      <c r="E18" s="38"/>
      <c r="F18" s="38"/>
      <c r="G18" s="38"/>
      <c r="H18" s="6"/>
      <c r="K18" s="1"/>
      <c r="L18" s="1"/>
      <c r="M18" s="22"/>
      <c r="N18" s="1"/>
      <c r="O18" s="1"/>
      <c r="P18" s="1"/>
    </row>
    <row r="19" spans="1:22" x14ac:dyDescent="0.25">
      <c r="C19" s="38"/>
      <c r="D19" s="38"/>
      <c r="E19" s="38"/>
      <c r="F19" s="38"/>
      <c r="G19" s="38"/>
      <c r="H19" s="6"/>
      <c r="K19" s="1"/>
      <c r="L19" s="1"/>
      <c r="M19" s="22"/>
      <c r="N19" s="1"/>
      <c r="O19" s="1"/>
      <c r="P19" s="1"/>
    </row>
    <row r="20" spans="1:22" ht="19.5" x14ac:dyDescent="0.25">
      <c r="C20" s="63" t="s">
        <v>15</v>
      </c>
      <c r="D20" s="63"/>
      <c r="E20" s="63"/>
      <c r="F20" s="63"/>
      <c r="G20" s="63"/>
      <c r="H20" s="6"/>
      <c r="K20" s="1"/>
      <c r="L20" s="1"/>
      <c r="M20" s="22"/>
      <c r="N20" s="1"/>
      <c r="O20" s="1"/>
      <c r="P20" s="1"/>
    </row>
    <row r="21" spans="1:22" ht="15.75" thickBot="1" x14ac:dyDescent="0.3">
      <c r="A21" t="s">
        <v>16</v>
      </c>
      <c r="C21" s="38"/>
      <c r="D21" s="40">
        <v>2012</v>
      </c>
      <c r="E21" s="40">
        <v>2013</v>
      </c>
      <c r="F21" s="40">
        <v>2014</v>
      </c>
      <c r="G21" s="40">
        <v>2015</v>
      </c>
      <c r="H21" s="40">
        <v>2016</v>
      </c>
      <c r="I21" s="40">
        <v>2017</v>
      </c>
      <c r="J21" s="40">
        <v>2018</v>
      </c>
      <c r="K21" s="40">
        <v>2019</v>
      </c>
      <c r="L21" s="40">
        <v>2020</v>
      </c>
      <c r="M21" s="40">
        <v>2021</v>
      </c>
      <c r="N21" s="40">
        <v>2022</v>
      </c>
      <c r="O21" s="40">
        <v>2023</v>
      </c>
      <c r="P21" s="40">
        <v>2024</v>
      </c>
      <c r="Q21" s="40">
        <v>2025</v>
      </c>
      <c r="R21" s="40">
        <v>2026</v>
      </c>
      <c r="S21" s="40">
        <v>2027</v>
      </c>
      <c r="T21" s="40">
        <v>2028</v>
      </c>
      <c r="U21" s="40">
        <v>2029</v>
      </c>
      <c r="V21" s="40">
        <v>2030</v>
      </c>
    </row>
    <row r="22" spans="1:22" x14ac:dyDescent="0.25">
      <c r="B22" t="s">
        <v>17</v>
      </c>
      <c r="C22" s="38"/>
      <c r="D22" s="39">
        <v>15407.76</v>
      </c>
      <c r="E22" s="39">
        <v>30003.37</v>
      </c>
      <c r="F22" s="39">
        <v>41146.839999999997</v>
      </c>
      <c r="G22" s="39">
        <v>48710.12</v>
      </c>
      <c r="H22" s="6">
        <v>112749.78</v>
      </c>
      <c r="I22" s="5">
        <v>124037.610145083</v>
      </c>
      <c r="J22" s="5">
        <v>136670.237010357</v>
      </c>
      <c r="K22" s="13">
        <v>150281.50483144799</v>
      </c>
      <c r="L22" s="13">
        <v>164600.087775338</v>
      </c>
      <c r="M22" s="56">
        <v>236015.23480012201</v>
      </c>
      <c r="N22" s="13">
        <v>254910.87731611499</v>
      </c>
      <c r="O22" s="13">
        <v>273727.16512276803</v>
      </c>
      <c r="P22" s="13">
        <v>293006.76960818103</v>
      </c>
      <c r="Q22" s="5">
        <v>312094.97943714302</v>
      </c>
      <c r="R22" s="5">
        <v>330539.84922951303</v>
      </c>
      <c r="S22" s="39">
        <v>410275.33725932101</v>
      </c>
      <c r="T22" s="5">
        <v>433926.82536741497</v>
      </c>
      <c r="U22" s="5">
        <v>455044.52560930903</v>
      </c>
      <c r="V22" s="39">
        <v>475046.22265384201</v>
      </c>
    </row>
    <row r="23" spans="1:22" x14ac:dyDescent="0.25">
      <c r="B23" t="s">
        <v>18</v>
      </c>
      <c r="C23" s="38"/>
      <c r="D23" s="39">
        <f>D3*(15/360)</f>
        <v>4878.333333333333</v>
      </c>
      <c r="E23" s="39">
        <f>D23*1.1</f>
        <v>5366.166666666667</v>
      </c>
      <c r="F23" s="39">
        <f>E23*1.1</f>
        <v>5902.7833333333338</v>
      </c>
      <c r="G23" s="39">
        <f>F23*1.1</f>
        <v>6493.0616666666674</v>
      </c>
      <c r="H23" s="39">
        <f t="shared" ref="H23:I23" si="17">G23*1.1</f>
        <v>7142.3678333333346</v>
      </c>
      <c r="I23" s="39">
        <f t="shared" si="17"/>
        <v>7856.6046166666683</v>
      </c>
      <c r="J23" s="39">
        <v>8000</v>
      </c>
      <c r="K23" s="39">
        <v>8000</v>
      </c>
      <c r="L23" s="39">
        <v>8000</v>
      </c>
      <c r="M23" s="39">
        <v>8000</v>
      </c>
      <c r="N23" s="39">
        <v>8000</v>
      </c>
      <c r="O23" s="39">
        <v>8000</v>
      </c>
      <c r="P23" s="39">
        <v>8000</v>
      </c>
      <c r="Q23" s="39">
        <v>8000</v>
      </c>
      <c r="R23" s="39">
        <v>8000</v>
      </c>
      <c r="S23" s="39">
        <v>8000</v>
      </c>
      <c r="T23" s="39">
        <v>8000</v>
      </c>
      <c r="U23" s="39">
        <v>8000</v>
      </c>
      <c r="V23" s="39">
        <v>8000</v>
      </c>
    </row>
    <row r="24" spans="1:22" x14ac:dyDescent="0.25">
      <c r="A24" t="s">
        <v>19</v>
      </c>
      <c r="C24" s="38"/>
      <c r="D24" s="39">
        <f>SUM(D22:D23)</f>
        <v>20286.093333333334</v>
      </c>
      <c r="E24" s="39">
        <f>SUM(E22:E23)</f>
        <v>35369.536666666667</v>
      </c>
      <c r="F24" s="39">
        <f>SUM(F22:F23)</f>
        <v>47049.623333333329</v>
      </c>
      <c r="G24" s="39">
        <f>SUM(G22:G23)</f>
        <v>55203.181666666671</v>
      </c>
      <c r="H24" s="39">
        <f t="shared" ref="H24:V24" si="18">SUM(H22:H23)</f>
        <v>119892.14783333334</v>
      </c>
      <c r="I24" s="39">
        <f t="shared" si="18"/>
        <v>131894.21476174967</v>
      </c>
      <c r="J24" s="39">
        <f t="shared" si="18"/>
        <v>144670.237010357</v>
      </c>
      <c r="K24" s="39">
        <f t="shared" si="18"/>
        <v>158281.50483144799</v>
      </c>
      <c r="L24" s="39">
        <f t="shared" si="18"/>
        <v>172600.087775338</v>
      </c>
      <c r="M24" s="39">
        <f t="shared" si="18"/>
        <v>244015.23480012201</v>
      </c>
      <c r="N24" s="39">
        <f t="shared" si="18"/>
        <v>262910.87731611496</v>
      </c>
      <c r="O24" s="39">
        <f t="shared" si="18"/>
        <v>281727.16512276803</v>
      </c>
      <c r="P24" s="39">
        <f t="shared" si="18"/>
        <v>301006.76960818103</v>
      </c>
      <c r="Q24" s="39">
        <f t="shared" si="18"/>
        <v>320094.97943714302</v>
      </c>
      <c r="R24" s="39">
        <f t="shared" si="18"/>
        <v>338539.84922951303</v>
      </c>
      <c r="S24" s="39">
        <f t="shared" si="18"/>
        <v>418275.33725932101</v>
      </c>
      <c r="T24" s="39">
        <f t="shared" si="18"/>
        <v>441926.82536741497</v>
      </c>
      <c r="U24" s="39">
        <f t="shared" si="18"/>
        <v>463044.52560930903</v>
      </c>
      <c r="V24" s="39">
        <f t="shared" si="18"/>
        <v>483046.22265384201</v>
      </c>
    </row>
    <row r="25" spans="1:22" x14ac:dyDescent="0.25">
      <c r="C25" s="38"/>
      <c r="D25" s="38"/>
      <c r="E25" s="38"/>
      <c r="F25" s="38"/>
      <c r="G25" s="38"/>
      <c r="H25" s="6"/>
      <c r="K25" s="1"/>
      <c r="L25" s="1"/>
      <c r="M25" s="22"/>
      <c r="N25" s="1"/>
      <c r="O25" s="1"/>
      <c r="P25" s="1"/>
    </row>
    <row r="26" spans="1:22" x14ac:dyDescent="0.25">
      <c r="B26" t="s">
        <v>20</v>
      </c>
      <c r="C26" s="38"/>
      <c r="D26" s="39">
        <v>1350000</v>
      </c>
      <c r="E26" s="14">
        <f>D26</f>
        <v>1350000</v>
      </c>
      <c r="F26" s="14">
        <f>E26</f>
        <v>1350000</v>
      </c>
      <c r="G26" s="48">
        <f>F26</f>
        <v>1350000</v>
      </c>
      <c r="H26" s="39">
        <f t="shared" ref="H26:V26" si="19">G26</f>
        <v>1350000</v>
      </c>
      <c r="I26" s="39">
        <f t="shared" si="19"/>
        <v>1350000</v>
      </c>
      <c r="J26" s="39">
        <f t="shared" si="19"/>
        <v>1350000</v>
      </c>
      <c r="K26" s="39">
        <f t="shared" si="19"/>
        <v>1350000</v>
      </c>
      <c r="L26" s="39">
        <f t="shared" si="19"/>
        <v>1350000</v>
      </c>
      <c r="M26" s="39">
        <f t="shared" si="19"/>
        <v>1350000</v>
      </c>
      <c r="N26" s="39">
        <f t="shared" si="19"/>
        <v>1350000</v>
      </c>
      <c r="O26" s="39">
        <f t="shared" si="19"/>
        <v>1350000</v>
      </c>
      <c r="P26" s="39">
        <f t="shared" si="19"/>
        <v>1350000</v>
      </c>
      <c r="Q26" s="39">
        <f t="shared" si="19"/>
        <v>1350000</v>
      </c>
      <c r="R26" s="39">
        <f t="shared" si="19"/>
        <v>1350000</v>
      </c>
      <c r="S26" s="39">
        <f t="shared" si="19"/>
        <v>1350000</v>
      </c>
      <c r="T26" s="39">
        <f t="shared" si="19"/>
        <v>1350000</v>
      </c>
      <c r="U26" s="39">
        <f t="shared" si="19"/>
        <v>1350000</v>
      </c>
      <c r="V26" s="39">
        <f t="shared" si="19"/>
        <v>1350000</v>
      </c>
    </row>
    <row r="27" spans="1:22" x14ac:dyDescent="0.25">
      <c r="B27" t="s">
        <v>21</v>
      </c>
      <c r="C27" s="38"/>
      <c r="D27" s="14">
        <f>D10</f>
        <v>27000</v>
      </c>
      <c r="E27" s="14">
        <f>D27+E10</f>
        <v>54000</v>
      </c>
      <c r="F27" s="14">
        <f>E27+F10</f>
        <v>81000</v>
      </c>
      <c r="G27" s="14">
        <f>F27+G10</f>
        <v>108000</v>
      </c>
      <c r="H27" s="39">
        <f t="shared" ref="H27:V27" si="20">G27+H10</f>
        <v>135000</v>
      </c>
      <c r="I27" s="39">
        <f t="shared" si="20"/>
        <v>162000</v>
      </c>
      <c r="J27" s="39">
        <f t="shared" si="20"/>
        <v>189000</v>
      </c>
      <c r="K27" s="39">
        <f t="shared" si="20"/>
        <v>216000</v>
      </c>
      <c r="L27" s="39">
        <f t="shared" si="20"/>
        <v>243000</v>
      </c>
      <c r="M27" s="39">
        <f t="shared" si="20"/>
        <v>270000</v>
      </c>
      <c r="N27" s="39">
        <f t="shared" si="20"/>
        <v>297000</v>
      </c>
      <c r="O27" s="39">
        <f t="shared" si="20"/>
        <v>324000</v>
      </c>
      <c r="P27" s="39">
        <f t="shared" si="20"/>
        <v>351000</v>
      </c>
      <c r="Q27" s="39">
        <f t="shared" si="20"/>
        <v>378000</v>
      </c>
      <c r="R27" s="39">
        <f t="shared" si="20"/>
        <v>405000</v>
      </c>
      <c r="S27" s="39">
        <f t="shared" si="20"/>
        <v>432000</v>
      </c>
      <c r="T27" s="39">
        <f t="shared" si="20"/>
        <v>459000</v>
      </c>
      <c r="U27" s="39">
        <f t="shared" si="20"/>
        <v>486000</v>
      </c>
      <c r="V27" s="39">
        <f t="shared" si="20"/>
        <v>513000</v>
      </c>
    </row>
    <row r="28" spans="1:22" x14ac:dyDescent="0.25">
      <c r="A28" s="8" t="s">
        <v>22</v>
      </c>
      <c r="B28" s="8"/>
      <c r="C28" s="41"/>
      <c r="D28" s="42">
        <f>D26-D27</f>
        <v>1323000</v>
      </c>
      <c r="E28" s="42">
        <f>E26-E27</f>
        <v>1296000</v>
      </c>
      <c r="F28" s="42">
        <f>F26-F27</f>
        <v>1269000</v>
      </c>
      <c r="G28" s="42">
        <f>G26-G27</f>
        <v>1242000</v>
      </c>
      <c r="H28" s="53">
        <f t="shared" ref="H28:V28" si="21">H26-H27</f>
        <v>1215000</v>
      </c>
      <c r="I28" s="53">
        <f t="shared" si="21"/>
        <v>1188000</v>
      </c>
      <c r="J28" s="53">
        <f t="shared" si="21"/>
        <v>1161000</v>
      </c>
      <c r="K28" s="53">
        <f t="shared" si="21"/>
        <v>1134000</v>
      </c>
      <c r="L28" s="53">
        <f t="shared" si="21"/>
        <v>1107000</v>
      </c>
      <c r="M28" s="53">
        <f t="shared" si="21"/>
        <v>1080000</v>
      </c>
      <c r="N28" s="53">
        <f t="shared" si="21"/>
        <v>1053000</v>
      </c>
      <c r="O28" s="53">
        <f t="shared" si="21"/>
        <v>1026000</v>
      </c>
      <c r="P28" s="53">
        <f t="shared" si="21"/>
        <v>999000</v>
      </c>
      <c r="Q28" s="53">
        <f t="shared" si="21"/>
        <v>972000</v>
      </c>
      <c r="R28" s="53">
        <f t="shared" si="21"/>
        <v>945000</v>
      </c>
      <c r="S28" s="53">
        <f t="shared" si="21"/>
        <v>918000</v>
      </c>
      <c r="T28" s="53">
        <f t="shared" si="21"/>
        <v>891000</v>
      </c>
      <c r="U28" s="53">
        <f t="shared" si="21"/>
        <v>864000</v>
      </c>
      <c r="V28" s="53">
        <f t="shared" si="21"/>
        <v>837000</v>
      </c>
    </row>
    <row r="29" spans="1:22" x14ac:dyDescent="0.25">
      <c r="A29" s="8"/>
      <c r="B29" s="8"/>
      <c r="C29" s="8"/>
      <c r="D29" s="8"/>
      <c r="E29" s="8"/>
      <c r="F29" s="8"/>
      <c r="G29" s="8"/>
      <c r="H29" s="6"/>
      <c r="K29" s="1"/>
      <c r="L29" s="1"/>
      <c r="M29" s="22"/>
      <c r="N29" s="1"/>
      <c r="O29" s="1"/>
      <c r="P29" s="1"/>
    </row>
    <row r="30" spans="1:22" x14ac:dyDescent="0.25">
      <c r="A30" s="9" t="s">
        <v>23</v>
      </c>
      <c r="B30" s="9"/>
      <c r="C30" s="9"/>
      <c r="D30" s="3">
        <f>D28+D24</f>
        <v>1343286.0933333333</v>
      </c>
      <c r="E30" s="3">
        <f>E28+E24</f>
        <v>1331369.5366666666</v>
      </c>
      <c r="F30" s="3">
        <f>F28+F24</f>
        <v>1316049.6233333333</v>
      </c>
      <c r="G30" s="3">
        <f>G28+G24</f>
        <v>1297203.1816666666</v>
      </c>
      <c r="H30" s="54">
        <f t="shared" ref="H30:V30" si="22">H28+H24</f>
        <v>1334892.1478333334</v>
      </c>
      <c r="I30" s="3">
        <f t="shared" si="22"/>
        <v>1319894.2147617496</v>
      </c>
      <c r="J30" s="3">
        <f t="shared" si="22"/>
        <v>1305670.237010357</v>
      </c>
      <c r="K30" s="3">
        <f t="shared" si="22"/>
        <v>1292281.504831448</v>
      </c>
      <c r="L30" s="3">
        <f t="shared" si="22"/>
        <v>1279600.087775338</v>
      </c>
      <c r="M30" s="54">
        <f t="shared" si="22"/>
        <v>1324015.234800122</v>
      </c>
      <c r="N30" s="3">
        <f t="shared" si="22"/>
        <v>1315910.877316115</v>
      </c>
      <c r="O30" s="3">
        <f t="shared" si="22"/>
        <v>1307727.1651227679</v>
      </c>
      <c r="P30" s="3">
        <f t="shared" si="22"/>
        <v>1300006.769608181</v>
      </c>
      <c r="Q30" s="3">
        <f t="shared" si="22"/>
        <v>1292094.9794371431</v>
      </c>
      <c r="R30" s="3">
        <f t="shared" si="22"/>
        <v>1283539.849229513</v>
      </c>
      <c r="S30" s="54">
        <f t="shared" si="22"/>
        <v>1336275.337259321</v>
      </c>
      <c r="T30" s="3">
        <f t="shared" si="22"/>
        <v>1332926.8253674149</v>
      </c>
      <c r="U30" s="3">
        <f t="shared" si="22"/>
        <v>1327044.5256093091</v>
      </c>
      <c r="V30" s="54">
        <f t="shared" si="22"/>
        <v>1320046.2226538421</v>
      </c>
    </row>
    <row r="31" spans="1:22" x14ac:dyDescent="0.25">
      <c r="H31" s="6"/>
      <c r="K31" s="1"/>
      <c r="L31" s="1"/>
      <c r="M31" s="22"/>
      <c r="N31" s="1"/>
      <c r="O31" s="1"/>
      <c r="P31" s="1"/>
    </row>
    <row r="32" spans="1:22" x14ac:dyDescent="0.25">
      <c r="A32" t="s">
        <v>24</v>
      </c>
      <c r="H32" s="6"/>
      <c r="I32" s="4"/>
      <c r="J32" s="1"/>
      <c r="K32" s="1"/>
      <c r="L32" s="1"/>
      <c r="M32" s="22"/>
      <c r="N32" s="1"/>
      <c r="O32" s="1"/>
      <c r="P32" s="1"/>
    </row>
    <row r="33" spans="1:22" x14ac:dyDescent="0.25">
      <c r="B33" t="s">
        <v>25</v>
      </c>
      <c r="D33" s="2">
        <f>D16*0.5</f>
        <v>1656.8269999999991</v>
      </c>
      <c r="E33" s="2">
        <f t="shared" ref="E33:V33" si="23">E16*0.5</f>
        <v>1411.0479999999998</v>
      </c>
      <c r="F33" s="2">
        <f t="shared" si="23"/>
        <v>1162.9281999999992</v>
      </c>
      <c r="G33" s="2">
        <f t="shared" si="23"/>
        <v>910.56943599999943</v>
      </c>
      <c r="H33" s="14">
        <f t="shared" si="23"/>
        <v>1911.7775750000001</v>
      </c>
      <c r="I33" s="2">
        <f t="shared" si="23"/>
        <v>1819.5616517499993</v>
      </c>
      <c r="J33" s="2">
        <f t="shared" si="23"/>
        <v>1764.3669142974993</v>
      </c>
      <c r="K33" s="2">
        <f t="shared" si="23"/>
        <v>1725.3338145083749</v>
      </c>
      <c r="L33" s="2">
        <f t="shared" si="23"/>
        <v>1678.9101744197135</v>
      </c>
      <c r="M33" s="14">
        <f t="shared" si="23"/>
        <v>2346.4090020143094</v>
      </c>
      <c r="N33" s="2">
        <f t="shared" si="23"/>
        <v>2251.6367093527997</v>
      </c>
      <c r="O33" s="2">
        <f t="shared" si="23"/>
        <v>2116.6329141695824</v>
      </c>
      <c r="P33" s="2">
        <f t="shared" si="23"/>
        <v>2042.0820269602818</v>
      </c>
      <c r="Q33" s="2">
        <f t="shared" si="23"/>
        <v>1905.9436294732907</v>
      </c>
      <c r="R33" s="2">
        <f t="shared" si="23"/>
        <v>1717.0095776453265</v>
      </c>
      <c r="S33" s="14">
        <f t="shared" si="23"/>
        <v>2852.2977192598119</v>
      </c>
      <c r="T33" s="2">
        <f t="shared" si="23"/>
        <v>2430.3600465115701</v>
      </c>
      <c r="U33" s="2">
        <f t="shared" si="23"/>
        <v>2002.5262995562152</v>
      </c>
      <c r="V33" s="14">
        <f t="shared" si="23"/>
        <v>1735.5458550428318</v>
      </c>
    </row>
    <row r="34" spans="1:22" x14ac:dyDescent="0.25">
      <c r="D34" s="2"/>
      <c r="E34" s="2"/>
      <c r="F34" s="2"/>
      <c r="G34" s="2"/>
      <c r="H34" s="22"/>
      <c r="I34" s="1"/>
      <c r="J34" s="1"/>
      <c r="K34" s="1"/>
      <c r="L34" s="1"/>
      <c r="M34" s="22"/>
      <c r="N34" s="1"/>
      <c r="O34" s="1"/>
      <c r="P34" s="1"/>
    </row>
    <row r="35" spans="1:22" x14ac:dyDescent="0.25">
      <c r="B35" t="s">
        <v>26</v>
      </c>
      <c r="D35" s="2">
        <v>788374.65</v>
      </c>
      <c r="E35" s="14">
        <v>765415.49</v>
      </c>
      <c r="F35" s="14">
        <v>741040.27</v>
      </c>
      <c r="G35" s="14">
        <v>715161.63</v>
      </c>
      <c r="H35" s="45">
        <f>(G35*0.96)+50000</f>
        <v>736555.16480000003</v>
      </c>
      <c r="I35" s="50">
        <f t="shared" ref="I35:V35" si="24">H35*0.96</f>
        <v>707092.95820800005</v>
      </c>
      <c r="J35" s="50">
        <f t="shared" si="24"/>
        <v>678809.23987967998</v>
      </c>
      <c r="K35" s="50">
        <f t="shared" si="24"/>
        <v>651656.87028449273</v>
      </c>
      <c r="L35" s="50">
        <f t="shared" si="24"/>
        <v>625590.595473113</v>
      </c>
      <c r="M35" s="45">
        <f>(L35*0.96)+50000</f>
        <v>650566.97165418847</v>
      </c>
      <c r="N35" s="50">
        <f t="shared" si="24"/>
        <v>624544.29278802092</v>
      </c>
      <c r="O35" s="50">
        <f t="shared" si="24"/>
        <v>599562.52107650007</v>
      </c>
      <c r="P35" s="50">
        <f t="shared" si="24"/>
        <v>575580.0202334401</v>
      </c>
      <c r="Q35" s="50">
        <f t="shared" si="24"/>
        <v>552556.81942410243</v>
      </c>
      <c r="R35" s="50">
        <f t="shared" si="24"/>
        <v>530454.54664713831</v>
      </c>
      <c r="S35" s="45">
        <f>(R35*0.96)+50000</f>
        <v>559236.36478125281</v>
      </c>
      <c r="T35" s="50">
        <f t="shared" si="24"/>
        <v>536866.91019000264</v>
      </c>
      <c r="U35" s="50">
        <f t="shared" si="24"/>
        <v>515392.23378240253</v>
      </c>
      <c r="V35" s="45">
        <f t="shared" si="24"/>
        <v>494776.54443110642</v>
      </c>
    </row>
    <row r="36" spans="1:22" x14ac:dyDescent="0.25">
      <c r="A36" t="s">
        <v>74</v>
      </c>
      <c r="D36" s="2">
        <f>SUM(D33:D35)</f>
        <v>790031.47700000007</v>
      </c>
      <c r="E36" s="2">
        <f t="shared" ref="E36:V36" si="25">SUM(E33:E35)</f>
        <v>766826.53799999994</v>
      </c>
      <c r="F36" s="2">
        <f t="shared" si="25"/>
        <v>742203.19819999998</v>
      </c>
      <c r="G36" s="2">
        <f t="shared" si="25"/>
        <v>716072.19943599997</v>
      </c>
      <c r="H36" s="14">
        <f t="shared" si="25"/>
        <v>738466.94237499998</v>
      </c>
      <c r="I36" s="2">
        <f t="shared" si="25"/>
        <v>708912.51985975006</v>
      </c>
      <c r="J36" s="2">
        <f t="shared" si="25"/>
        <v>680573.60679397744</v>
      </c>
      <c r="K36" s="2">
        <f t="shared" si="25"/>
        <v>653382.20409900113</v>
      </c>
      <c r="L36" s="2">
        <f t="shared" si="25"/>
        <v>627269.50564753276</v>
      </c>
      <c r="M36" s="14">
        <f t="shared" si="25"/>
        <v>652913.38065620279</v>
      </c>
      <c r="N36" s="2">
        <f t="shared" si="25"/>
        <v>626795.92949737376</v>
      </c>
      <c r="O36" s="2">
        <f t="shared" si="25"/>
        <v>601679.15399066964</v>
      </c>
      <c r="P36" s="2">
        <f t="shared" si="25"/>
        <v>577622.10226040042</v>
      </c>
      <c r="Q36" s="2">
        <f t="shared" si="25"/>
        <v>554462.76305357576</v>
      </c>
      <c r="R36" s="2">
        <f t="shared" si="25"/>
        <v>532171.55622478365</v>
      </c>
      <c r="S36" s="14">
        <f t="shared" si="25"/>
        <v>562088.66250051267</v>
      </c>
      <c r="T36" s="2">
        <f t="shared" si="25"/>
        <v>539297.27023651416</v>
      </c>
      <c r="U36" s="2">
        <f t="shared" si="25"/>
        <v>517394.76008195872</v>
      </c>
      <c r="V36" s="14">
        <f t="shared" si="25"/>
        <v>496512.09028614924</v>
      </c>
    </row>
    <row r="37" spans="1:22" x14ac:dyDescent="0.25">
      <c r="H37" s="22"/>
      <c r="I37" s="1"/>
      <c r="J37" s="1"/>
      <c r="K37" s="1"/>
      <c r="L37" s="1"/>
      <c r="M37" s="22"/>
      <c r="N37" s="1"/>
      <c r="O37" s="1"/>
      <c r="P37" s="1"/>
    </row>
    <row r="38" spans="1:22" x14ac:dyDescent="0.25">
      <c r="B38" t="s">
        <v>31</v>
      </c>
      <c r="D38" s="2">
        <f>1350000-810000</f>
        <v>540000</v>
      </c>
      <c r="E38" s="2">
        <f>D38</f>
        <v>540000</v>
      </c>
      <c r="F38" s="2">
        <f>E38</f>
        <v>540000</v>
      </c>
      <c r="G38" s="2">
        <f>F38</f>
        <v>540000</v>
      </c>
      <c r="H38" s="14">
        <f t="shared" ref="H38:V38" si="26">G38</f>
        <v>540000</v>
      </c>
      <c r="I38" s="2">
        <f t="shared" si="26"/>
        <v>540000</v>
      </c>
      <c r="J38" s="2">
        <f t="shared" si="26"/>
        <v>540000</v>
      </c>
      <c r="K38" s="2">
        <f t="shared" si="26"/>
        <v>540000</v>
      </c>
      <c r="L38" s="2">
        <f t="shared" si="26"/>
        <v>540000</v>
      </c>
      <c r="M38" s="14">
        <f t="shared" si="26"/>
        <v>540000</v>
      </c>
      <c r="N38" s="2">
        <f t="shared" si="26"/>
        <v>540000</v>
      </c>
      <c r="O38" s="2">
        <f t="shared" si="26"/>
        <v>540000</v>
      </c>
      <c r="P38" s="2">
        <f t="shared" si="26"/>
        <v>540000</v>
      </c>
      <c r="Q38" s="2">
        <f t="shared" si="26"/>
        <v>540000</v>
      </c>
      <c r="R38" s="2">
        <f t="shared" si="26"/>
        <v>540000</v>
      </c>
      <c r="S38" s="14">
        <f t="shared" si="26"/>
        <v>540000</v>
      </c>
      <c r="T38" s="2">
        <f t="shared" si="26"/>
        <v>540000</v>
      </c>
      <c r="U38" s="2">
        <f t="shared" si="26"/>
        <v>540000</v>
      </c>
      <c r="V38" s="14">
        <f t="shared" si="26"/>
        <v>540000</v>
      </c>
    </row>
    <row r="39" spans="1:22" x14ac:dyDescent="0.25">
      <c r="B39" t="s">
        <v>27</v>
      </c>
      <c r="D39" s="2">
        <f>D17</f>
        <v>13254.615999999991</v>
      </c>
      <c r="E39" s="2">
        <f>D39+E17</f>
        <v>24542.999999999985</v>
      </c>
      <c r="F39" s="2">
        <f>E39+F17</f>
        <v>33846.42559999998</v>
      </c>
      <c r="G39" s="2">
        <f>F39+G17</f>
        <v>41130.981087999979</v>
      </c>
      <c r="H39" s="14">
        <f t="shared" ref="H39:V39" si="27">G39+H17</f>
        <v>56425.201687999979</v>
      </c>
      <c r="I39" s="2">
        <f t="shared" si="27"/>
        <v>70981.694901999974</v>
      </c>
      <c r="J39" s="2">
        <f t="shared" si="27"/>
        <v>85096.63021637997</v>
      </c>
      <c r="K39" s="2">
        <f t="shared" si="27"/>
        <v>98899.300732446965</v>
      </c>
      <c r="L39" s="2">
        <f t="shared" si="27"/>
        <v>112330.58212780468</v>
      </c>
      <c r="M39" s="14">
        <f t="shared" si="27"/>
        <v>131101.85414391916</v>
      </c>
      <c r="N39" s="2">
        <f t="shared" si="27"/>
        <v>149114.94781874155</v>
      </c>
      <c r="O39" s="2">
        <f t="shared" si="27"/>
        <v>166048.01113209821</v>
      </c>
      <c r="P39" s="2">
        <f t="shared" si="27"/>
        <v>182384.66734778046</v>
      </c>
      <c r="Q39" s="2">
        <f t="shared" si="27"/>
        <v>197632.21638356679</v>
      </c>
      <c r="R39" s="2">
        <f t="shared" si="27"/>
        <v>211368.29300472941</v>
      </c>
      <c r="S39" s="14">
        <f t="shared" si="27"/>
        <v>234186.6747588079</v>
      </c>
      <c r="T39" s="2">
        <f t="shared" si="27"/>
        <v>253629.55513090047</v>
      </c>
      <c r="U39" s="2">
        <f t="shared" si="27"/>
        <v>269649.76552735019</v>
      </c>
      <c r="V39" s="14">
        <f t="shared" si="27"/>
        <v>283534.13236769283</v>
      </c>
    </row>
    <row r="40" spans="1:22" x14ac:dyDescent="0.25">
      <c r="A40" t="s">
        <v>28</v>
      </c>
      <c r="D40" s="2">
        <f>SUM(D38:D39)</f>
        <v>553254.61600000004</v>
      </c>
      <c r="E40" s="2">
        <f t="shared" ref="E40:V40" si="28">SUM(E38:E39)</f>
        <v>564543</v>
      </c>
      <c r="F40" s="2">
        <f t="shared" si="28"/>
        <v>573846.42559999996</v>
      </c>
      <c r="G40" s="2">
        <f t="shared" si="28"/>
        <v>581130.981088</v>
      </c>
      <c r="H40" s="14">
        <f t="shared" si="28"/>
        <v>596425.201688</v>
      </c>
      <c r="I40" s="2">
        <f t="shared" si="28"/>
        <v>610981.69490200002</v>
      </c>
      <c r="J40" s="2">
        <f t="shared" si="28"/>
        <v>625096.63021638</v>
      </c>
      <c r="K40" s="2">
        <f t="shared" si="28"/>
        <v>638899.30073244695</v>
      </c>
      <c r="L40" s="2">
        <f t="shared" si="28"/>
        <v>652330.58212780464</v>
      </c>
      <c r="M40" s="14">
        <f t="shared" si="28"/>
        <v>671101.85414391919</v>
      </c>
      <c r="N40" s="2">
        <f t="shared" si="28"/>
        <v>689114.94781874155</v>
      </c>
      <c r="O40" s="2">
        <f t="shared" si="28"/>
        <v>706048.01113209827</v>
      </c>
      <c r="P40" s="2">
        <f t="shared" si="28"/>
        <v>722384.66734778043</v>
      </c>
      <c r="Q40" s="2">
        <f t="shared" si="28"/>
        <v>737632.21638356685</v>
      </c>
      <c r="R40" s="2">
        <f t="shared" si="28"/>
        <v>751368.29300472944</v>
      </c>
      <c r="S40" s="14">
        <f t="shared" si="28"/>
        <v>774186.67475880787</v>
      </c>
      <c r="T40" s="2">
        <f t="shared" si="28"/>
        <v>793629.55513090047</v>
      </c>
      <c r="U40" s="2">
        <f t="shared" si="28"/>
        <v>809649.76552735013</v>
      </c>
      <c r="V40" s="14">
        <f t="shared" si="28"/>
        <v>823534.13236769289</v>
      </c>
    </row>
    <row r="41" spans="1:22" x14ac:dyDescent="0.25">
      <c r="H41" s="22"/>
      <c r="I41" s="1"/>
      <c r="J41" s="1"/>
      <c r="K41" s="1"/>
      <c r="L41" s="1"/>
      <c r="M41" s="22"/>
      <c r="N41" s="1"/>
      <c r="O41" s="1"/>
      <c r="P41" s="1"/>
    </row>
    <row r="42" spans="1:22" x14ac:dyDescent="0.25">
      <c r="A42" t="s">
        <v>29</v>
      </c>
      <c r="D42" s="2">
        <f>D36+D40</f>
        <v>1343286.0930000001</v>
      </c>
      <c r="E42" s="2">
        <f t="shared" ref="E42:V42" si="29">E36+E40</f>
        <v>1331369.5379999999</v>
      </c>
      <c r="F42" s="2">
        <f t="shared" si="29"/>
        <v>1316049.6237999999</v>
      </c>
      <c r="G42" s="2">
        <f t="shared" si="29"/>
        <v>1297203.180524</v>
      </c>
      <c r="H42" s="14">
        <f t="shared" si="29"/>
        <v>1334892.1440630001</v>
      </c>
      <c r="I42" s="2">
        <f t="shared" si="29"/>
        <v>1319894.2147617501</v>
      </c>
      <c r="J42" s="2">
        <f t="shared" si="29"/>
        <v>1305670.2370103574</v>
      </c>
      <c r="K42" s="2">
        <f t="shared" si="29"/>
        <v>1292281.5048314482</v>
      </c>
      <c r="L42" s="2">
        <f t="shared" si="29"/>
        <v>1279600.0877753375</v>
      </c>
      <c r="M42" s="14">
        <f t="shared" si="29"/>
        <v>1324015.234800122</v>
      </c>
      <c r="N42" s="2">
        <f t="shared" si="29"/>
        <v>1315910.8773161154</v>
      </c>
      <c r="O42" s="2">
        <f t="shared" si="29"/>
        <v>1307727.1651227679</v>
      </c>
      <c r="P42" s="2">
        <f t="shared" si="29"/>
        <v>1300006.769608181</v>
      </c>
      <c r="Q42" s="2">
        <f t="shared" si="29"/>
        <v>1292094.9794371426</v>
      </c>
      <c r="R42" s="2">
        <f t="shared" si="29"/>
        <v>1283539.8492295132</v>
      </c>
      <c r="S42" s="14">
        <f t="shared" si="29"/>
        <v>1336275.3372593205</v>
      </c>
      <c r="T42" s="2">
        <f t="shared" si="29"/>
        <v>1332926.8253674146</v>
      </c>
      <c r="U42" s="2">
        <f t="shared" si="29"/>
        <v>1327044.5256093089</v>
      </c>
      <c r="V42" s="14">
        <f t="shared" si="29"/>
        <v>1320046.2226538421</v>
      </c>
    </row>
    <row r="43" spans="1:22" x14ac:dyDescent="0.25">
      <c r="A43" s="1"/>
      <c r="B43" s="10"/>
      <c r="C43" s="10"/>
      <c r="D43" s="11"/>
      <c r="E43" s="11"/>
      <c r="F43" s="11"/>
      <c r="G43" s="11"/>
      <c r="H43" s="11"/>
      <c r="I43" s="1"/>
      <c r="J43" s="1"/>
      <c r="K43" s="1"/>
      <c r="L43" s="1"/>
      <c r="M43" s="22"/>
      <c r="N43" s="1"/>
      <c r="O43" s="1"/>
      <c r="P43" s="1"/>
    </row>
    <row r="44" spans="1:22" x14ac:dyDescent="0.25">
      <c r="A44" s="1"/>
      <c r="B44" s="10" t="s">
        <v>30</v>
      </c>
      <c r="C44" s="10"/>
      <c r="D44" s="12">
        <f>D30-D42</f>
        <v>3.3333315514028072E-4</v>
      </c>
      <c r="E44" s="12">
        <f>E30-E42</f>
        <v>-1.3333333190530539E-3</v>
      </c>
      <c r="F44" s="12">
        <f>F30-F42</f>
        <v>-4.6666665002703667E-4</v>
      </c>
      <c r="G44" s="12">
        <f>G30-G42</f>
        <v>1.1426666751503944E-3</v>
      </c>
      <c r="H44" s="55">
        <f t="shared" ref="H44:V44" si="30">H30-H42</f>
        <v>3.7703332491219044E-3</v>
      </c>
      <c r="I44" s="12">
        <f t="shared" si="30"/>
        <v>0</v>
      </c>
      <c r="J44" s="12">
        <f t="shared" si="30"/>
        <v>0</v>
      </c>
      <c r="K44" s="12">
        <f t="shared" si="30"/>
        <v>0</v>
      </c>
      <c r="L44" s="12">
        <f t="shared" si="30"/>
        <v>0</v>
      </c>
      <c r="M44" s="55">
        <f t="shared" si="30"/>
        <v>0</v>
      </c>
      <c r="N44" s="12">
        <f t="shared" si="30"/>
        <v>0</v>
      </c>
      <c r="O44" s="12">
        <f t="shared" si="30"/>
        <v>0</v>
      </c>
      <c r="P44" s="12">
        <f t="shared" si="30"/>
        <v>0</v>
      </c>
      <c r="Q44" s="12">
        <f t="shared" si="30"/>
        <v>0</v>
      </c>
      <c r="R44" s="12">
        <f t="shared" si="30"/>
        <v>0</v>
      </c>
      <c r="S44" s="55">
        <f t="shared" si="30"/>
        <v>0</v>
      </c>
      <c r="T44" s="12">
        <f t="shared" si="30"/>
        <v>0</v>
      </c>
      <c r="U44" s="12">
        <f t="shared" si="30"/>
        <v>0</v>
      </c>
      <c r="V44" s="55">
        <f t="shared" si="30"/>
        <v>0</v>
      </c>
    </row>
    <row r="47" spans="1:22" x14ac:dyDescent="0.25">
      <c r="B47" s="16" t="s">
        <v>47</v>
      </c>
      <c r="C47" s="1"/>
      <c r="D47" s="1"/>
      <c r="E47" s="1"/>
    </row>
    <row r="48" spans="1:22" x14ac:dyDescent="0.25">
      <c r="B48" s="1"/>
      <c r="C48" s="1"/>
      <c r="D48" s="1"/>
      <c r="E48" s="1"/>
    </row>
    <row r="49" spans="2:7" x14ac:dyDescent="0.25">
      <c r="B49" s="1" t="s">
        <v>48</v>
      </c>
      <c r="C49" s="1"/>
      <c r="D49" s="1"/>
      <c r="E49" s="1"/>
    </row>
    <row r="50" spans="2:7" x14ac:dyDescent="0.25">
      <c r="B50" s="1"/>
      <c r="C50" s="1" t="s">
        <v>49</v>
      </c>
      <c r="D50" s="1">
        <v>1.37</v>
      </c>
      <c r="E50" s="1"/>
    </row>
    <row r="51" spans="2:7" x14ac:dyDescent="0.25">
      <c r="B51" s="1"/>
      <c r="C51" s="1" t="s">
        <v>50</v>
      </c>
      <c r="D51" s="17">
        <v>1.47E-2</v>
      </c>
      <c r="E51" s="1"/>
    </row>
    <row r="52" spans="2:7" x14ac:dyDescent="0.25">
      <c r="B52" s="1"/>
      <c r="C52" s="1" t="s">
        <v>51</v>
      </c>
      <c r="D52" s="17">
        <v>6.0600000000000001E-2</v>
      </c>
      <c r="E52" s="1"/>
    </row>
    <row r="53" spans="2:7" x14ac:dyDescent="0.25">
      <c r="B53" s="1"/>
      <c r="C53" s="18"/>
      <c r="D53" s="19"/>
      <c r="E53" s="1"/>
    </row>
    <row r="54" spans="2:7" x14ac:dyDescent="0.25">
      <c r="B54" s="1" t="s">
        <v>52</v>
      </c>
      <c r="C54" s="1"/>
      <c r="D54" s="19">
        <f>D52-D51</f>
        <v>4.5900000000000003E-2</v>
      </c>
      <c r="E54" s="1"/>
    </row>
    <row r="55" spans="2:7" x14ac:dyDescent="0.25">
      <c r="B55" s="1" t="s">
        <v>53</v>
      </c>
      <c r="C55" s="1"/>
      <c r="D55" s="17">
        <f>D54*D50</f>
        <v>6.2883000000000008E-2</v>
      </c>
      <c r="E55" s="1"/>
    </row>
    <row r="56" spans="2:7" x14ac:dyDescent="0.25">
      <c r="B56" s="1" t="s">
        <v>54</v>
      </c>
      <c r="C56" s="1"/>
      <c r="D56" s="17">
        <f>D55+D51</f>
        <v>7.7583000000000013E-2</v>
      </c>
      <c r="E56" s="1"/>
    </row>
    <row r="57" spans="2:7" x14ac:dyDescent="0.25">
      <c r="E57" s="1"/>
    </row>
    <row r="58" spans="2:7" x14ac:dyDescent="0.25">
      <c r="E58" s="1"/>
    </row>
    <row r="59" spans="2:7" x14ac:dyDescent="0.25">
      <c r="B59" s="1"/>
      <c r="C59" s="1"/>
      <c r="D59" s="1"/>
      <c r="E59" s="1"/>
    </row>
    <row r="60" spans="2:7" x14ac:dyDescent="0.25">
      <c r="B60" s="1"/>
      <c r="E60" t="s">
        <v>55</v>
      </c>
      <c r="F60" t="s">
        <v>56</v>
      </c>
      <c r="G60" t="s">
        <v>57</v>
      </c>
    </row>
    <row r="61" spans="2:7" x14ac:dyDescent="0.25">
      <c r="B61" t="s">
        <v>58</v>
      </c>
      <c r="D61" s="20">
        <f>G35</f>
        <v>715161.63</v>
      </c>
      <c r="E61" s="21">
        <f>D61/D63</f>
        <v>1</v>
      </c>
      <c r="F61" s="15">
        <v>5.0500000000000003E-2</v>
      </c>
      <c r="G61" t="s">
        <v>59</v>
      </c>
    </row>
    <row r="62" spans="2:7" x14ac:dyDescent="0.25">
      <c r="B62" s="22" t="s">
        <v>60</v>
      </c>
      <c r="D62" s="23">
        <v>0</v>
      </c>
      <c r="E62" s="21">
        <f>D62/D63</f>
        <v>0</v>
      </c>
      <c r="F62" s="21">
        <v>0</v>
      </c>
    </row>
    <row r="63" spans="2:7" x14ac:dyDescent="0.25">
      <c r="B63" s="22" t="s">
        <v>61</v>
      </c>
      <c r="D63" s="20">
        <f>SUM(D61:D62)</f>
        <v>715161.63</v>
      </c>
    </row>
    <row r="64" spans="2:7" x14ac:dyDescent="0.25">
      <c r="B64" s="22"/>
      <c r="D64" s="20"/>
    </row>
    <row r="65" spans="2:6" x14ac:dyDescent="0.25">
      <c r="B65" s="22"/>
      <c r="C65" t="s">
        <v>62</v>
      </c>
      <c r="D65" s="15">
        <f>(E61*F61)+(E62*F62)</f>
        <v>5.0500000000000003E-2</v>
      </c>
    </row>
    <row r="66" spans="2:6" x14ac:dyDescent="0.25">
      <c r="B66" s="22"/>
      <c r="D66" s="20"/>
    </row>
    <row r="67" spans="2:6" x14ac:dyDescent="0.25">
      <c r="B67" s="22" t="s">
        <v>31</v>
      </c>
      <c r="D67" s="20">
        <f>G38</f>
        <v>540000</v>
      </c>
      <c r="E67" s="15"/>
    </row>
    <row r="68" spans="2:6" x14ac:dyDescent="0.25">
      <c r="B68" s="22" t="s">
        <v>63</v>
      </c>
      <c r="D68" s="23">
        <f>G39</f>
        <v>41130.981087999979</v>
      </c>
      <c r="E68" s="15"/>
    </row>
    <row r="69" spans="2:6" x14ac:dyDescent="0.25">
      <c r="B69" t="s">
        <v>64</v>
      </c>
      <c r="D69" s="20">
        <f>SUM(D67:D68)</f>
        <v>581130.981088</v>
      </c>
      <c r="E69" t="s">
        <v>65</v>
      </c>
      <c r="F69" s="24">
        <f>D51+D50*D54</f>
        <v>7.7583000000000013E-2</v>
      </c>
    </row>
    <row r="71" spans="2:6" x14ac:dyDescent="0.25">
      <c r="B71" s="22" t="s">
        <v>66</v>
      </c>
      <c r="D71" s="20">
        <f>D63+D69</f>
        <v>1296292.611088</v>
      </c>
    </row>
    <row r="73" spans="2:6" x14ac:dyDescent="0.25">
      <c r="B73" t="s">
        <v>14</v>
      </c>
      <c r="D73" s="20">
        <f>G17</f>
        <v>7284.5554879999954</v>
      </c>
    </row>
    <row r="75" spans="2:6" x14ac:dyDescent="0.25">
      <c r="C75" t="s">
        <v>67</v>
      </c>
      <c r="D75">
        <v>1.37</v>
      </c>
    </row>
    <row r="77" spans="2:6" x14ac:dyDescent="0.25">
      <c r="B77" s="1"/>
      <c r="C77" s="1" t="s">
        <v>57</v>
      </c>
      <c r="D77" s="4">
        <f>D65</f>
        <v>5.0500000000000003E-2</v>
      </c>
    </row>
    <row r="78" spans="2:6" x14ac:dyDescent="0.25">
      <c r="B78" s="1"/>
      <c r="C78" s="25" t="s">
        <v>68</v>
      </c>
      <c r="D78" s="4">
        <f>+D63/D71</f>
        <v>0.55169768297896327</v>
      </c>
      <c r="E78" s="26">
        <v>0.6</v>
      </c>
    </row>
    <row r="79" spans="2:6" x14ac:dyDescent="0.25">
      <c r="B79" s="1"/>
      <c r="C79" s="1" t="s">
        <v>69</v>
      </c>
      <c r="D79" s="4">
        <v>0.2</v>
      </c>
      <c r="E79" s="26"/>
    </row>
    <row r="80" spans="2:6" x14ac:dyDescent="0.25">
      <c r="B80" s="1"/>
      <c r="C80" s="27" t="s">
        <v>59</v>
      </c>
      <c r="D80" s="4">
        <f>F69</f>
        <v>7.7583000000000013E-2</v>
      </c>
    </row>
    <row r="81" spans="1:22" x14ac:dyDescent="0.25">
      <c r="B81" s="1"/>
      <c r="C81" s="25" t="s">
        <v>70</v>
      </c>
      <c r="D81" s="4">
        <f>+D69/D71</f>
        <v>0.44830231702103668</v>
      </c>
      <c r="E81" s="28">
        <v>0.4</v>
      </c>
    </row>
    <row r="82" spans="1:22" x14ac:dyDescent="0.25">
      <c r="B82" s="1" t="s">
        <v>71</v>
      </c>
      <c r="C82" s="1"/>
      <c r="D82" s="1"/>
    </row>
    <row r="83" spans="1:22" x14ac:dyDescent="0.25">
      <c r="B83" s="1"/>
      <c r="C83" s="1"/>
      <c r="D83" s="1"/>
    </row>
    <row r="84" spans="1:22" x14ac:dyDescent="0.25">
      <c r="B84" t="s">
        <v>47</v>
      </c>
      <c r="D84" s="29">
        <f>D77*D78*(1-D79)+(D80*D81)</f>
        <v>5.7069225053793221E-2</v>
      </c>
    </row>
    <row r="86" spans="1:22" x14ac:dyDescent="0.25">
      <c r="B86" s="1" t="s">
        <v>72</v>
      </c>
      <c r="C86" s="1"/>
      <c r="D86" s="30">
        <f>D75/(1+(1-D79)*(D78/D81))</f>
        <v>0.69034671043910045</v>
      </c>
    </row>
    <row r="87" spans="1:22" x14ac:dyDescent="0.25">
      <c r="B87" s="1"/>
      <c r="D87" s="30"/>
    </row>
    <row r="88" spans="1:22" x14ac:dyDescent="0.25">
      <c r="B88" s="1" t="s">
        <v>73</v>
      </c>
      <c r="C88" s="1"/>
      <c r="D88" s="31">
        <f>D86*(1+(1-D79)*(E78/E81))</f>
        <v>1.5187627629660212</v>
      </c>
    </row>
    <row r="89" spans="1:22" x14ac:dyDescent="0.25">
      <c r="A89" s="25" t="s">
        <v>92</v>
      </c>
      <c r="B89" s="1"/>
    </row>
    <row r="90" spans="1:22" x14ac:dyDescent="0.25">
      <c r="A90" s="1"/>
      <c r="B90" s="1" t="s">
        <v>85</v>
      </c>
      <c r="D90" s="2">
        <f>D17</f>
        <v>13254.615999999991</v>
      </c>
      <c r="E90" s="2">
        <f t="shared" ref="E90:G90" si="31">E17</f>
        <v>11288.383999999996</v>
      </c>
      <c r="F90" s="2">
        <f t="shared" si="31"/>
        <v>9303.4255999999932</v>
      </c>
      <c r="G90" s="2">
        <f t="shared" si="31"/>
        <v>7284.5554879999954</v>
      </c>
      <c r="H90" s="2">
        <f t="shared" ref="H90:V90" si="32">H17</f>
        <v>15294.220600000001</v>
      </c>
      <c r="I90" s="2">
        <f t="shared" si="32"/>
        <v>14556.493213999993</v>
      </c>
      <c r="J90" s="2">
        <f t="shared" si="32"/>
        <v>14114.935314379993</v>
      </c>
      <c r="K90" s="2">
        <f t="shared" si="32"/>
        <v>13802.670516066999</v>
      </c>
      <c r="L90" s="2">
        <f t="shared" si="32"/>
        <v>13431.281395357708</v>
      </c>
      <c r="M90" s="2">
        <f t="shared" si="32"/>
        <v>18771.272016114475</v>
      </c>
      <c r="N90" s="2">
        <f t="shared" si="32"/>
        <v>18013.093674822398</v>
      </c>
      <c r="O90" s="2">
        <f t="shared" si="32"/>
        <v>16933.063313356659</v>
      </c>
      <c r="P90" s="2">
        <f t="shared" si="32"/>
        <v>16336.656215682253</v>
      </c>
      <c r="Q90" s="2">
        <f t="shared" si="32"/>
        <v>15247.549035786325</v>
      </c>
      <c r="R90" s="2">
        <f t="shared" si="32"/>
        <v>13736.076621162612</v>
      </c>
      <c r="S90" s="2">
        <f t="shared" si="32"/>
        <v>22818.381754078495</v>
      </c>
      <c r="T90" s="2">
        <f t="shared" si="32"/>
        <v>19442.880372092557</v>
      </c>
      <c r="U90" s="2">
        <f t="shared" si="32"/>
        <v>16020.210396449722</v>
      </c>
      <c r="V90" s="14">
        <f t="shared" si="32"/>
        <v>13884.366840342653</v>
      </c>
    </row>
    <row r="91" spans="1:22" x14ac:dyDescent="0.25">
      <c r="A91" s="1"/>
      <c r="B91" s="1" t="s">
        <v>93</v>
      </c>
      <c r="D91" s="2">
        <f>D10</f>
        <v>27000</v>
      </c>
      <c r="E91" s="2">
        <f t="shared" ref="E91:G91" si="33">E10</f>
        <v>27000</v>
      </c>
      <c r="F91" s="2">
        <f t="shared" si="33"/>
        <v>27000</v>
      </c>
      <c r="G91" s="2">
        <f t="shared" si="33"/>
        <v>27000</v>
      </c>
      <c r="H91" s="2">
        <f t="shared" ref="H91:V91" si="34">H10</f>
        <v>27000</v>
      </c>
      <c r="I91" s="2">
        <f t="shared" si="34"/>
        <v>27000</v>
      </c>
      <c r="J91" s="2">
        <f t="shared" si="34"/>
        <v>27000</v>
      </c>
      <c r="K91" s="2">
        <f t="shared" si="34"/>
        <v>27000</v>
      </c>
      <c r="L91" s="2">
        <f t="shared" si="34"/>
        <v>27000</v>
      </c>
      <c r="M91" s="2">
        <f t="shared" si="34"/>
        <v>27000</v>
      </c>
      <c r="N91" s="2">
        <f t="shared" si="34"/>
        <v>27000</v>
      </c>
      <c r="O91" s="2">
        <f t="shared" si="34"/>
        <v>27000</v>
      </c>
      <c r="P91" s="2">
        <f t="shared" si="34"/>
        <v>27000</v>
      </c>
      <c r="Q91" s="2">
        <f t="shared" si="34"/>
        <v>27000</v>
      </c>
      <c r="R91" s="2">
        <f t="shared" si="34"/>
        <v>27000</v>
      </c>
      <c r="S91" s="2">
        <f t="shared" si="34"/>
        <v>27000</v>
      </c>
      <c r="T91" s="2">
        <f t="shared" si="34"/>
        <v>27000</v>
      </c>
      <c r="U91" s="2">
        <f t="shared" si="34"/>
        <v>27000</v>
      </c>
      <c r="V91" s="14">
        <f t="shared" si="34"/>
        <v>27000</v>
      </c>
    </row>
    <row r="92" spans="1:22" x14ac:dyDescent="0.25">
      <c r="A92" s="1"/>
      <c r="B92" s="1" t="s">
        <v>94</v>
      </c>
      <c r="D92" s="2">
        <f>D90-D91</f>
        <v>-13745.384000000009</v>
      </c>
      <c r="E92" s="2">
        <f t="shared" ref="E92:G92" si="35">E90-E91</f>
        <v>-15711.616000000004</v>
      </c>
      <c r="F92" s="2">
        <f t="shared" si="35"/>
        <v>-17696.574400000005</v>
      </c>
      <c r="G92" s="2">
        <f t="shared" si="35"/>
        <v>-19715.444512000005</v>
      </c>
      <c r="H92" s="2">
        <f t="shared" ref="H92:V92" si="36">H90-H91</f>
        <v>-11705.779399999999</v>
      </c>
      <c r="I92" s="2">
        <f t="shared" si="36"/>
        <v>-12443.506786000007</v>
      </c>
      <c r="J92" s="2">
        <f t="shared" si="36"/>
        <v>-12885.064685620007</v>
      </c>
      <c r="K92" s="2">
        <f t="shared" si="36"/>
        <v>-13197.329483933001</v>
      </c>
      <c r="L92" s="2">
        <f t="shared" si="36"/>
        <v>-13568.718604642292</v>
      </c>
      <c r="M92" s="2">
        <f t="shared" si="36"/>
        <v>-8228.7279838855247</v>
      </c>
      <c r="N92" s="2">
        <f t="shared" si="36"/>
        <v>-8986.9063251776024</v>
      </c>
      <c r="O92" s="2">
        <f t="shared" si="36"/>
        <v>-10066.936686643341</v>
      </c>
      <c r="P92" s="2">
        <f t="shared" si="36"/>
        <v>-10663.343784317747</v>
      </c>
      <c r="Q92" s="2">
        <f t="shared" si="36"/>
        <v>-11752.450964213675</v>
      </c>
      <c r="R92" s="2">
        <f t="shared" si="36"/>
        <v>-13263.923378837388</v>
      </c>
      <c r="S92" s="2">
        <f t="shared" si="36"/>
        <v>-4181.6182459215051</v>
      </c>
      <c r="T92" s="2">
        <f t="shared" si="36"/>
        <v>-7557.1196279074429</v>
      </c>
      <c r="U92" s="2">
        <f t="shared" si="36"/>
        <v>-10979.789603550278</v>
      </c>
      <c r="V92" s="14">
        <f t="shared" si="36"/>
        <v>-13115.633159657347</v>
      </c>
    </row>
    <row r="93" spans="1:22" x14ac:dyDescent="0.25">
      <c r="A93" s="1"/>
      <c r="B93" s="1" t="s">
        <v>95</v>
      </c>
      <c r="D93" s="2">
        <f>D92*0</f>
        <v>0</v>
      </c>
      <c r="E93" s="2">
        <f t="shared" ref="E93:G93" si="37">E92*0</f>
        <v>0</v>
      </c>
      <c r="F93" s="2">
        <f t="shared" si="37"/>
        <v>0</v>
      </c>
      <c r="G93" s="2">
        <f t="shared" si="37"/>
        <v>0</v>
      </c>
      <c r="H93" s="2">
        <f t="shared" ref="H93:V93" si="38">H92*0</f>
        <v>0</v>
      </c>
      <c r="I93" s="2">
        <f t="shared" si="38"/>
        <v>0</v>
      </c>
      <c r="J93" s="2">
        <f t="shared" si="38"/>
        <v>0</v>
      </c>
      <c r="K93" s="2">
        <f t="shared" si="38"/>
        <v>0</v>
      </c>
      <c r="L93" s="2">
        <f t="shared" si="38"/>
        <v>0</v>
      </c>
      <c r="M93" s="2">
        <f t="shared" si="38"/>
        <v>0</v>
      </c>
      <c r="N93" s="2">
        <f t="shared" si="38"/>
        <v>0</v>
      </c>
      <c r="O93" s="2">
        <f t="shared" si="38"/>
        <v>0</v>
      </c>
      <c r="P93" s="2">
        <f t="shared" si="38"/>
        <v>0</v>
      </c>
      <c r="Q93" s="2">
        <f t="shared" si="38"/>
        <v>0</v>
      </c>
      <c r="R93" s="2">
        <f t="shared" si="38"/>
        <v>0</v>
      </c>
      <c r="S93" s="2">
        <f t="shared" si="38"/>
        <v>0</v>
      </c>
      <c r="T93" s="2">
        <f t="shared" si="38"/>
        <v>0</v>
      </c>
      <c r="U93" s="2">
        <f t="shared" si="38"/>
        <v>0</v>
      </c>
      <c r="V93" s="14">
        <f t="shared" si="38"/>
        <v>0</v>
      </c>
    </row>
    <row r="94" spans="1:22" x14ac:dyDescent="0.25">
      <c r="A94" s="1"/>
      <c r="B94" s="1" t="s">
        <v>96</v>
      </c>
      <c r="D94" s="2">
        <f>D91</f>
        <v>27000</v>
      </c>
      <c r="E94" s="2">
        <f t="shared" ref="E94:G94" si="39">E91</f>
        <v>27000</v>
      </c>
      <c r="F94" s="2">
        <f t="shared" si="39"/>
        <v>27000</v>
      </c>
      <c r="G94" s="2">
        <f t="shared" si="39"/>
        <v>27000</v>
      </c>
      <c r="H94" s="2">
        <f t="shared" ref="H94:V94" si="40">H91</f>
        <v>27000</v>
      </c>
      <c r="I94" s="2">
        <f t="shared" si="40"/>
        <v>27000</v>
      </c>
      <c r="J94" s="2">
        <f t="shared" si="40"/>
        <v>27000</v>
      </c>
      <c r="K94" s="2">
        <f t="shared" si="40"/>
        <v>27000</v>
      </c>
      <c r="L94" s="2">
        <f t="shared" si="40"/>
        <v>27000</v>
      </c>
      <c r="M94" s="2">
        <f t="shared" si="40"/>
        <v>27000</v>
      </c>
      <c r="N94" s="2">
        <f t="shared" si="40"/>
        <v>27000</v>
      </c>
      <c r="O94" s="2">
        <f t="shared" si="40"/>
        <v>27000</v>
      </c>
      <c r="P94" s="2">
        <f t="shared" si="40"/>
        <v>27000</v>
      </c>
      <c r="Q94" s="2">
        <f t="shared" si="40"/>
        <v>27000</v>
      </c>
      <c r="R94" s="2">
        <f t="shared" si="40"/>
        <v>27000</v>
      </c>
      <c r="S94" s="2">
        <f t="shared" si="40"/>
        <v>27000</v>
      </c>
      <c r="T94" s="2">
        <f t="shared" si="40"/>
        <v>27000</v>
      </c>
      <c r="U94" s="2">
        <f t="shared" si="40"/>
        <v>27000</v>
      </c>
      <c r="V94" s="14">
        <f t="shared" si="40"/>
        <v>27000</v>
      </c>
    </row>
    <row r="95" spans="1:22" x14ac:dyDescent="0.25">
      <c r="A95" s="25" t="s">
        <v>97</v>
      </c>
      <c r="B95" s="1"/>
      <c r="D95" s="2">
        <f>D92+D94</f>
        <v>13254.615999999991</v>
      </c>
      <c r="E95" s="2">
        <f t="shared" ref="E95:G95" si="41">E92+E94</f>
        <v>11288.383999999996</v>
      </c>
      <c r="F95" s="2">
        <f t="shared" si="41"/>
        <v>9303.425599999995</v>
      </c>
      <c r="G95" s="2">
        <f t="shared" si="41"/>
        <v>7284.5554879999945</v>
      </c>
      <c r="H95" s="2">
        <f t="shared" ref="H95:V95" si="42">H92+H94</f>
        <v>15294.220600000001</v>
      </c>
      <c r="I95" s="2">
        <f t="shared" si="42"/>
        <v>14556.493213999993</v>
      </c>
      <c r="J95" s="2">
        <f t="shared" si="42"/>
        <v>14114.935314379993</v>
      </c>
      <c r="K95" s="2">
        <f t="shared" si="42"/>
        <v>13802.670516066999</v>
      </c>
      <c r="L95" s="2">
        <f t="shared" si="42"/>
        <v>13431.281395357708</v>
      </c>
      <c r="M95" s="2">
        <f t="shared" si="42"/>
        <v>18771.272016114475</v>
      </c>
      <c r="N95" s="2">
        <f t="shared" si="42"/>
        <v>18013.093674822398</v>
      </c>
      <c r="O95" s="2">
        <f t="shared" si="42"/>
        <v>16933.063313356659</v>
      </c>
      <c r="P95" s="2">
        <f t="shared" si="42"/>
        <v>16336.656215682253</v>
      </c>
      <c r="Q95" s="2">
        <f t="shared" si="42"/>
        <v>15247.549035786325</v>
      </c>
      <c r="R95" s="2">
        <f t="shared" si="42"/>
        <v>13736.076621162612</v>
      </c>
      <c r="S95" s="2">
        <f t="shared" si="42"/>
        <v>22818.381754078495</v>
      </c>
      <c r="T95" s="2">
        <f t="shared" si="42"/>
        <v>19442.880372092557</v>
      </c>
      <c r="U95" s="2">
        <f t="shared" si="42"/>
        <v>16020.210396449722</v>
      </c>
      <c r="V95" s="14">
        <f t="shared" si="42"/>
        <v>13884.366840342653</v>
      </c>
    </row>
    <row r="96" spans="1:22" x14ac:dyDescent="0.25">
      <c r="A96" s="25"/>
      <c r="B96" s="1"/>
      <c r="D96" s="2"/>
      <c r="E96" s="2"/>
      <c r="F96" s="2"/>
      <c r="G96" s="2"/>
      <c r="H96" s="39"/>
      <c r="I96" s="5"/>
      <c r="J96" s="5"/>
      <c r="K96" s="5"/>
      <c r="L96" s="5"/>
      <c r="M96" s="39"/>
      <c r="N96" s="5"/>
      <c r="O96" s="5"/>
      <c r="P96" s="5"/>
      <c r="Q96" s="5"/>
      <c r="R96" s="5"/>
      <c r="S96" s="39"/>
      <c r="T96" s="5"/>
      <c r="U96" s="5"/>
    </row>
    <row r="97" spans="1:22" x14ac:dyDescent="0.25">
      <c r="A97" s="25" t="s">
        <v>98</v>
      </c>
      <c r="B97" s="1"/>
      <c r="D97" s="2"/>
      <c r="E97" s="2"/>
      <c r="F97" s="2"/>
      <c r="G97" s="2"/>
      <c r="H97" s="39"/>
      <c r="I97" s="5"/>
      <c r="J97" s="5"/>
      <c r="K97" s="5"/>
      <c r="L97" s="5"/>
      <c r="M97" s="39"/>
      <c r="N97" s="5"/>
      <c r="O97" s="5"/>
      <c r="P97" s="5"/>
      <c r="Q97" s="5"/>
      <c r="R97" s="5"/>
      <c r="S97" s="39"/>
      <c r="T97" s="5"/>
      <c r="U97" s="5"/>
    </row>
    <row r="98" spans="1:22" x14ac:dyDescent="0.25">
      <c r="A98" s="25"/>
      <c r="B98" t="s">
        <v>90</v>
      </c>
      <c r="C98" s="2">
        <f>-D26</f>
        <v>-1350000</v>
      </c>
      <c r="H98" s="39"/>
      <c r="I98" s="5"/>
      <c r="J98" s="5"/>
      <c r="K98" s="5"/>
      <c r="L98" s="5"/>
      <c r="M98" s="39"/>
      <c r="N98" s="5"/>
      <c r="O98" s="5"/>
      <c r="P98" s="5"/>
      <c r="Q98" s="5"/>
      <c r="R98" s="5"/>
      <c r="S98" s="39"/>
      <c r="T98" s="5"/>
      <c r="U98" s="5"/>
    </row>
    <row r="99" spans="1:22" x14ac:dyDescent="0.25">
      <c r="A99" s="25"/>
      <c r="B99" t="s">
        <v>105</v>
      </c>
      <c r="C99" s="2"/>
      <c r="H99" s="39">
        <v>-50000</v>
      </c>
      <c r="I99" s="5"/>
      <c r="J99" s="5"/>
      <c r="K99" s="5"/>
      <c r="L99" s="5"/>
      <c r="M99" s="39">
        <v>-50000</v>
      </c>
      <c r="N99" s="5"/>
      <c r="O99" s="5"/>
      <c r="P99" s="5"/>
      <c r="Q99" s="5"/>
      <c r="R99" s="5"/>
      <c r="S99" s="39">
        <v>-50000</v>
      </c>
      <c r="T99" s="5"/>
      <c r="U99" s="5"/>
    </row>
    <row r="100" spans="1:22" x14ac:dyDescent="0.25">
      <c r="A100" s="25"/>
      <c r="B100" s="22" t="s">
        <v>91</v>
      </c>
      <c r="C100" s="2"/>
      <c r="H100" s="39"/>
      <c r="I100" s="5"/>
      <c r="J100" s="5"/>
      <c r="K100" s="5"/>
      <c r="L100" s="5"/>
      <c r="M100" s="39"/>
      <c r="N100" s="5"/>
      <c r="O100" s="5"/>
      <c r="P100" s="5"/>
      <c r="Q100" s="5"/>
      <c r="R100" s="5"/>
      <c r="T100" s="5"/>
      <c r="U100" s="5"/>
      <c r="V100" s="14">
        <f>-C98-(SUM(D91:G91))+(150000*0.5)</f>
        <v>1317000</v>
      </c>
    </row>
    <row r="101" spans="1:22" x14ac:dyDescent="0.25">
      <c r="A101" s="25"/>
      <c r="B101" s="1"/>
      <c r="D101" s="2"/>
      <c r="E101" s="2"/>
      <c r="F101" s="2"/>
      <c r="G101" s="2"/>
      <c r="H101" s="39"/>
      <c r="I101" s="5"/>
      <c r="J101" s="5"/>
      <c r="K101" s="5"/>
      <c r="L101" s="5"/>
      <c r="M101" s="39"/>
      <c r="N101" s="5"/>
      <c r="O101" s="5"/>
      <c r="P101" s="5"/>
      <c r="Q101" s="5"/>
      <c r="R101" s="5"/>
      <c r="S101" s="39"/>
      <c r="T101" s="5"/>
      <c r="U101" s="5"/>
    </row>
    <row r="102" spans="1:22" x14ac:dyDescent="0.25">
      <c r="A102" s="25" t="s">
        <v>99</v>
      </c>
      <c r="B102" s="1"/>
      <c r="D102" s="2"/>
      <c r="E102" s="2"/>
      <c r="F102" s="2"/>
      <c r="G102" s="2"/>
      <c r="H102" s="39"/>
      <c r="I102" s="5"/>
      <c r="J102" s="5"/>
      <c r="K102" s="5"/>
      <c r="L102" s="5"/>
      <c r="M102" s="39"/>
      <c r="N102" s="5"/>
      <c r="O102" s="5"/>
      <c r="P102" s="5"/>
      <c r="Q102" s="5"/>
      <c r="R102" s="5"/>
      <c r="S102" s="39"/>
      <c r="T102" s="5"/>
      <c r="U102" s="5"/>
    </row>
    <row r="103" spans="1:22" x14ac:dyDescent="0.25">
      <c r="A103" s="43" t="s">
        <v>100</v>
      </c>
      <c r="B103" s="1" t="s">
        <v>101</v>
      </c>
      <c r="D103" s="2">
        <f>-(D23-C23)</f>
        <v>-4878.333333333333</v>
      </c>
      <c r="E103" s="2">
        <f t="shared" ref="E103:G103" si="43">-(E23-D23)</f>
        <v>-487.83333333333394</v>
      </c>
      <c r="F103" s="2">
        <f t="shared" si="43"/>
        <v>-536.61666666666679</v>
      </c>
      <c r="G103" s="2">
        <f t="shared" si="43"/>
        <v>-590.27833333333365</v>
      </c>
      <c r="H103" s="2">
        <f t="shared" ref="H103" si="44">-(H23-G23)</f>
        <v>-649.3061666666672</v>
      </c>
      <c r="I103" s="2">
        <f t="shared" ref="I103" si="45">-(I23-H23)</f>
        <v>-714.23678333333373</v>
      </c>
      <c r="J103" s="2">
        <f t="shared" ref="J103" si="46">-(J23-I23)</f>
        <v>-143.39538333333167</v>
      </c>
      <c r="K103" s="2">
        <f t="shared" ref="K103" si="47">-(K23-J23)</f>
        <v>0</v>
      </c>
      <c r="L103" s="2">
        <f t="shared" ref="L103" si="48">-(L23-K23)</f>
        <v>0</v>
      </c>
      <c r="M103" s="2">
        <f t="shared" ref="M103" si="49">-(M23-L23)</f>
        <v>0</v>
      </c>
      <c r="N103" s="2">
        <f t="shared" ref="N103" si="50">-(N23-M23)</f>
        <v>0</v>
      </c>
      <c r="O103" s="2">
        <f t="shared" ref="O103" si="51">-(O23-N23)</f>
        <v>0</v>
      </c>
      <c r="P103" s="2">
        <f t="shared" ref="P103" si="52">-(P23-O23)</f>
        <v>0</v>
      </c>
      <c r="Q103" s="2">
        <f t="shared" ref="Q103" si="53">-(Q23-P23)</f>
        <v>0</v>
      </c>
      <c r="R103" s="2">
        <f t="shared" ref="R103" si="54">-(R23-Q23)</f>
        <v>0</v>
      </c>
      <c r="S103" s="2">
        <f t="shared" ref="S103" si="55">-(S23-R23)</f>
        <v>0</v>
      </c>
      <c r="T103" s="2">
        <f t="shared" ref="T103" si="56">-(T23-S23)</f>
        <v>0</v>
      </c>
      <c r="U103" s="2">
        <f t="shared" ref="U103" si="57">-(U23-T23)</f>
        <v>0</v>
      </c>
      <c r="V103" s="14">
        <f t="shared" ref="V103" si="58">-(V23-U23)</f>
        <v>0</v>
      </c>
    </row>
    <row r="104" spans="1:22" x14ac:dyDescent="0.25">
      <c r="A104" s="1"/>
      <c r="B104" s="1"/>
      <c r="H104" s="39"/>
      <c r="I104" s="5"/>
      <c r="J104" s="5"/>
      <c r="K104" s="5"/>
      <c r="L104" s="5"/>
      <c r="M104" s="39"/>
      <c r="N104" s="5"/>
      <c r="O104" s="5"/>
      <c r="P104" s="5"/>
      <c r="Q104" s="5"/>
      <c r="R104" s="5"/>
      <c r="S104" s="39"/>
      <c r="T104" s="5"/>
      <c r="U104" s="5"/>
    </row>
    <row r="105" spans="1:22" x14ac:dyDescent="0.25">
      <c r="A105" s="43" t="s">
        <v>102</v>
      </c>
      <c r="B105" s="1" t="s">
        <v>25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14">
        <v>0</v>
      </c>
    </row>
    <row r="106" spans="1:22" x14ac:dyDescent="0.25">
      <c r="A106" s="43"/>
      <c r="B106" s="1"/>
      <c r="D106" s="2"/>
      <c r="E106" s="2"/>
      <c r="F106" s="2"/>
      <c r="G106" s="2"/>
      <c r="H106" s="39"/>
      <c r="I106" s="5"/>
      <c r="J106" s="5"/>
      <c r="K106" s="5"/>
      <c r="L106" s="5"/>
      <c r="M106" s="39"/>
      <c r="N106" s="5"/>
      <c r="O106" s="5"/>
      <c r="P106" s="5"/>
      <c r="Q106" s="5"/>
      <c r="R106" s="5"/>
      <c r="S106" s="39"/>
      <c r="T106" s="5"/>
      <c r="U106" s="5"/>
    </row>
    <row r="107" spans="1:22" x14ac:dyDescent="0.25">
      <c r="A107" s="25" t="s">
        <v>103</v>
      </c>
      <c r="B107" s="1"/>
      <c r="D107" s="2"/>
      <c r="E107" s="2"/>
      <c r="F107" s="2"/>
      <c r="G107" s="2"/>
      <c r="H107" s="39"/>
      <c r="I107" s="5"/>
      <c r="J107" s="5"/>
      <c r="K107" s="5"/>
      <c r="L107" s="5"/>
      <c r="M107" s="39"/>
      <c r="N107" s="5"/>
      <c r="O107" s="5"/>
      <c r="P107" s="5"/>
      <c r="Q107" s="5"/>
      <c r="R107" s="5"/>
      <c r="S107" s="39"/>
      <c r="T107" s="5"/>
      <c r="U107" s="5"/>
    </row>
    <row r="108" spans="1:22" x14ac:dyDescent="0.25">
      <c r="A108" s="1"/>
      <c r="B108" s="1" t="s">
        <v>101</v>
      </c>
      <c r="D108" s="2"/>
      <c r="E108" s="2"/>
      <c r="F108" s="2"/>
      <c r="H108" s="39"/>
      <c r="I108" s="5"/>
      <c r="J108" s="5"/>
      <c r="K108" s="5"/>
      <c r="L108" s="5"/>
      <c r="M108" s="39"/>
      <c r="N108" s="5"/>
      <c r="O108" s="5"/>
      <c r="P108" s="5"/>
      <c r="Q108" s="5"/>
      <c r="R108" s="5"/>
      <c r="S108" s="39"/>
      <c r="T108" s="5"/>
      <c r="U108" s="5"/>
      <c r="V108" s="14">
        <f>V23</f>
        <v>8000</v>
      </c>
    </row>
    <row r="109" spans="1:22" x14ac:dyDescent="0.25">
      <c r="A109" s="1"/>
      <c r="B109" s="1"/>
      <c r="D109" s="2"/>
      <c r="E109" s="2"/>
      <c r="F109" s="2"/>
      <c r="G109" s="2"/>
      <c r="H109" s="39"/>
      <c r="I109" s="5"/>
      <c r="J109" s="5"/>
      <c r="K109" s="5"/>
      <c r="L109" s="5"/>
      <c r="M109" s="39"/>
      <c r="N109" s="5"/>
      <c r="O109" s="5"/>
      <c r="P109" s="5"/>
      <c r="Q109" s="5"/>
      <c r="R109" s="5"/>
      <c r="S109" s="39"/>
      <c r="T109" s="5"/>
      <c r="U109" s="5"/>
    </row>
    <row r="110" spans="1:22" x14ac:dyDescent="0.25">
      <c r="A110" s="43"/>
      <c r="B110" s="1" t="s">
        <v>25</v>
      </c>
      <c r="D110" s="2"/>
      <c r="E110" s="2"/>
      <c r="F110" s="2"/>
      <c r="G110" s="2"/>
      <c r="H110" s="39"/>
      <c r="I110" s="5"/>
      <c r="J110" s="5"/>
      <c r="K110" s="5"/>
      <c r="L110" s="5"/>
      <c r="M110" s="39"/>
      <c r="N110" s="5"/>
      <c r="O110" s="5"/>
      <c r="P110" s="5"/>
      <c r="Q110" s="5"/>
      <c r="R110" s="5"/>
      <c r="S110" s="39"/>
      <c r="T110" s="5"/>
      <c r="U110" s="5"/>
      <c r="V110" s="38">
        <v>0</v>
      </c>
    </row>
    <row r="111" spans="1:22" x14ac:dyDescent="0.25">
      <c r="A111" s="43"/>
      <c r="B111" s="1"/>
      <c r="D111" s="2"/>
      <c r="E111" s="2"/>
      <c r="F111" s="2"/>
      <c r="G111" s="2"/>
      <c r="H111" s="39"/>
      <c r="I111" s="5"/>
      <c r="J111" s="5"/>
      <c r="K111" s="5"/>
      <c r="L111" s="5"/>
      <c r="M111" s="39"/>
      <c r="N111" s="5"/>
      <c r="O111" s="5"/>
      <c r="P111" s="5"/>
      <c r="Q111" s="5"/>
      <c r="R111" s="5"/>
      <c r="S111" s="39"/>
      <c r="T111" s="5"/>
      <c r="U111" s="5"/>
    </row>
    <row r="112" spans="1:22" x14ac:dyDescent="0.25">
      <c r="H112" s="39"/>
      <c r="I112" s="5"/>
      <c r="J112" s="5"/>
      <c r="K112" s="5"/>
      <c r="L112" s="5"/>
      <c r="M112" s="39"/>
      <c r="N112" s="5"/>
      <c r="O112" s="5"/>
      <c r="P112" s="5"/>
      <c r="Q112" s="5"/>
      <c r="R112" s="5"/>
      <c r="S112" s="39"/>
      <c r="T112" s="5"/>
      <c r="U112" s="5"/>
    </row>
    <row r="113" spans="2:22" x14ac:dyDescent="0.25">
      <c r="B113" t="s">
        <v>86</v>
      </c>
      <c r="C113" s="60">
        <f>SUM(C95:C112)</f>
        <v>-1350000</v>
      </c>
      <c r="D113" s="60">
        <f t="shared" ref="D113:U113" si="59">SUM(D95:D112)</f>
        <v>8376.2826666666588</v>
      </c>
      <c r="E113" s="60">
        <f t="shared" si="59"/>
        <v>10800.550666666662</v>
      </c>
      <c r="F113" s="60">
        <f t="shared" si="59"/>
        <v>8766.8089333333282</v>
      </c>
      <c r="G113" s="60">
        <f t="shared" si="59"/>
        <v>6694.2771546666609</v>
      </c>
      <c r="H113" s="60">
        <f t="shared" si="59"/>
        <v>-35355.085566666668</v>
      </c>
      <c r="I113" s="60">
        <f t="shared" si="59"/>
        <v>13842.256430666659</v>
      </c>
      <c r="J113" s="60">
        <f t="shared" si="59"/>
        <v>13971.53993104666</v>
      </c>
      <c r="K113" s="60">
        <f t="shared" si="59"/>
        <v>13802.670516066999</v>
      </c>
      <c r="L113" s="60">
        <f t="shared" si="59"/>
        <v>13431.281395357708</v>
      </c>
      <c r="M113" s="60">
        <f t="shared" si="59"/>
        <v>-31228.727983885525</v>
      </c>
      <c r="N113" s="60">
        <f t="shared" si="59"/>
        <v>18013.093674822398</v>
      </c>
      <c r="O113" s="60">
        <f t="shared" si="59"/>
        <v>16933.063313356659</v>
      </c>
      <c r="P113" s="60">
        <f t="shared" si="59"/>
        <v>16336.656215682253</v>
      </c>
      <c r="Q113" s="60">
        <f t="shared" si="59"/>
        <v>15247.549035786325</v>
      </c>
      <c r="R113" s="60">
        <f t="shared" si="59"/>
        <v>13736.076621162612</v>
      </c>
      <c r="S113" s="60">
        <f t="shared" si="59"/>
        <v>-27181.618245921505</v>
      </c>
      <c r="T113" s="60">
        <f t="shared" si="59"/>
        <v>19442.880372092557</v>
      </c>
      <c r="U113" s="60">
        <f t="shared" si="59"/>
        <v>16020.210396449722</v>
      </c>
      <c r="V113" s="61">
        <f>SUM(V95:V112)</f>
        <v>1338884.3668403428</v>
      </c>
    </row>
    <row r="114" spans="2:22" x14ac:dyDescent="0.25">
      <c r="B114" t="s">
        <v>87</v>
      </c>
      <c r="C114" s="33">
        <f>PV(D84,C115,,-C113)</f>
        <v>-1350000</v>
      </c>
      <c r="D114" s="33">
        <f>PV($D$84,D115,,-D113)</f>
        <v>7924.0625572468052</v>
      </c>
      <c r="E114" s="33">
        <f t="shared" ref="E114:U114" si="60">PV($D$84,E115,,-E113)</f>
        <v>9665.8274978121626</v>
      </c>
      <c r="F114" s="33">
        <f t="shared" si="60"/>
        <v>7422.1760936690771</v>
      </c>
      <c r="G114" s="33">
        <f t="shared" si="60"/>
        <v>5361.5452066880107</v>
      </c>
      <c r="H114" s="33">
        <f t="shared" si="60"/>
        <v>-26787.658065556305</v>
      </c>
      <c r="I114" s="33">
        <f t="shared" si="60"/>
        <v>9921.7051166119945</v>
      </c>
      <c r="J114" s="33">
        <f t="shared" si="60"/>
        <v>9473.7140477970843</v>
      </c>
      <c r="K114" s="33">
        <f t="shared" si="60"/>
        <v>8853.921914843284</v>
      </c>
      <c r="L114" s="33">
        <f t="shared" si="60"/>
        <v>8150.5437931774986</v>
      </c>
      <c r="M114" s="33">
        <f t="shared" si="60"/>
        <v>-17927.51121507226</v>
      </c>
      <c r="N114" s="33">
        <f t="shared" si="60"/>
        <v>9782.5164389669226</v>
      </c>
      <c r="O114" s="33">
        <f t="shared" si="60"/>
        <v>8699.5017916504348</v>
      </c>
      <c r="P114" s="33">
        <f t="shared" si="60"/>
        <v>7939.9650440785927</v>
      </c>
      <c r="Q114" s="33">
        <f t="shared" si="60"/>
        <v>7010.549013751589</v>
      </c>
      <c r="R114" s="33">
        <f t="shared" si="60"/>
        <v>5974.6334605098109</v>
      </c>
      <c r="S114" s="33">
        <f t="shared" si="60"/>
        <v>-11184.599607389324</v>
      </c>
      <c r="T114" s="33">
        <f t="shared" si="60"/>
        <v>7568.3691669405862</v>
      </c>
      <c r="U114" s="33">
        <f t="shared" si="60"/>
        <v>5899.381608878055</v>
      </c>
      <c r="V114" s="58">
        <f>PV($D$84,V115,,-V113)</f>
        <v>466420.8069284698</v>
      </c>
    </row>
    <row r="115" spans="2:22" x14ac:dyDescent="0.25">
      <c r="C115">
        <v>0</v>
      </c>
      <c r="D115">
        <v>1</v>
      </c>
      <c r="E115">
        <v>2</v>
      </c>
      <c r="F115">
        <v>3</v>
      </c>
      <c r="G115">
        <v>4</v>
      </c>
      <c r="H115">
        <v>5</v>
      </c>
      <c r="I115">
        <v>6</v>
      </c>
      <c r="J115">
        <v>7</v>
      </c>
      <c r="K115">
        <v>8</v>
      </c>
      <c r="L115">
        <v>9</v>
      </c>
      <c r="M115">
        <v>10</v>
      </c>
      <c r="N115">
        <v>11</v>
      </c>
      <c r="O115">
        <v>12</v>
      </c>
      <c r="P115">
        <v>13</v>
      </c>
      <c r="Q115">
        <v>14</v>
      </c>
      <c r="R115">
        <v>15</v>
      </c>
      <c r="S115">
        <v>16</v>
      </c>
      <c r="T115">
        <v>17</v>
      </c>
      <c r="U115">
        <v>18</v>
      </c>
      <c r="V115">
        <v>19</v>
      </c>
    </row>
    <row r="116" spans="2:22" x14ac:dyDescent="0.25">
      <c r="C116" s="33"/>
    </row>
    <row r="117" spans="2:22" x14ac:dyDescent="0.25">
      <c r="C117" s="34"/>
    </row>
    <row r="118" spans="2:22" ht="15.75" thickBot="1" x14ac:dyDescent="0.3"/>
    <row r="119" spans="2:22" x14ac:dyDescent="0.25">
      <c r="B119" s="35" t="s">
        <v>88</v>
      </c>
      <c r="C119" s="36">
        <f>SUM(C114:V114)</f>
        <v>-819830.54920692625</v>
      </c>
    </row>
    <row r="120" spans="2:22" ht="15.75" thickBot="1" x14ac:dyDescent="0.3">
      <c r="B120" s="37" t="s">
        <v>89</v>
      </c>
      <c r="C120" s="57">
        <f>IRR(C113:V113)</f>
        <v>3.9182665963315433E-3</v>
      </c>
    </row>
  </sheetData>
  <mergeCells count="2">
    <mergeCell ref="C1:G1"/>
    <mergeCell ref="C20:G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6" workbookViewId="0">
      <selection activeCell="A17" sqref="A17"/>
    </sheetView>
  </sheetViews>
  <sheetFormatPr defaultRowHeight="15" x14ac:dyDescent="0.25"/>
  <cols>
    <col min="1" max="1" width="22.5703125" bestFit="1" customWidth="1"/>
    <col min="2" max="2" width="14.28515625" bestFit="1" customWidth="1"/>
    <col min="5" max="5" width="12.28515625" customWidth="1"/>
  </cols>
  <sheetData>
    <row r="1" spans="1:2" x14ac:dyDescent="0.25">
      <c r="A1" s="15" t="s">
        <v>32</v>
      </c>
      <c r="B1" s="1"/>
    </row>
    <row r="2" spans="1:2" x14ac:dyDescent="0.25">
      <c r="A2" s="1" t="s">
        <v>33</v>
      </c>
      <c r="B2" s="1"/>
    </row>
    <row r="3" spans="1:2" x14ac:dyDescent="0.25">
      <c r="A3" s="1" t="s">
        <v>34</v>
      </c>
      <c r="B3" s="1"/>
    </row>
    <row r="4" spans="1:2" x14ac:dyDescent="0.25">
      <c r="A4" s="13"/>
      <c r="B4" s="1" t="s">
        <v>35</v>
      </c>
    </row>
    <row r="5" spans="1:2" x14ac:dyDescent="0.25">
      <c r="A5" s="13" t="s">
        <v>36</v>
      </c>
      <c r="B5" s="1"/>
    </row>
    <row r="6" spans="1:2" x14ac:dyDescent="0.25">
      <c r="A6" s="7"/>
      <c r="B6" s="1" t="s">
        <v>37</v>
      </c>
    </row>
    <row r="7" spans="1:2" x14ac:dyDescent="0.25">
      <c r="A7" s="5" t="s">
        <v>38</v>
      </c>
      <c r="B7" s="1"/>
    </row>
    <row r="8" spans="1:2" x14ac:dyDescent="0.25">
      <c r="A8" s="15" t="s">
        <v>39</v>
      </c>
      <c r="B8" s="1"/>
    </row>
    <row r="9" spans="1:2" x14ac:dyDescent="0.25">
      <c r="A9" s="5" t="s">
        <v>40</v>
      </c>
      <c r="B9" s="1"/>
    </row>
    <row r="10" spans="1:2" x14ac:dyDescent="0.25">
      <c r="A10" s="13" t="s">
        <v>41</v>
      </c>
      <c r="B10" s="1"/>
    </row>
    <row r="11" spans="1:2" x14ac:dyDescent="0.25">
      <c r="A11" s="13"/>
      <c r="B11" s="1"/>
    </row>
    <row r="12" spans="1:2" x14ac:dyDescent="0.25">
      <c r="A12" s="13" t="s">
        <v>42</v>
      </c>
      <c r="B12" s="1"/>
    </row>
    <row r="13" spans="1:2" x14ac:dyDescent="0.25">
      <c r="A13" s="1" t="s">
        <v>43</v>
      </c>
      <c r="B13" s="1"/>
    </row>
    <row r="14" spans="1:2" x14ac:dyDescent="0.25">
      <c r="A14" s="1" t="s">
        <v>44</v>
      </c>
      <c r="B14" s="1"/>
    </row>
    <row r="15" spans="1:2" x14ac:dyDescent="0.25">
      <c r="A15" s="15" t="s">
        <v>45</v>
      </c>
      <c r="B15" s="1"/>
    </row>
    <row r="16" spans="1:2" x14ac:dyDescent="0.25">
      <c r="A16" s="1" t="s">
        <v>46</v>
      </c>
      <c r="B16" s="1"/>
    </row>
    <row r="17" spans="1:6" x14ac:dyDescent="0.25">
      <c r="A17" s="1" t="s">
        <v>104</v>
      </c>
      <c r="B17" s="1"/>
    </row>
    <row r="18" spans="1:6" x14ac:dyDescent="0.25">
      <c r="A18" s="32" t="s">
        <v>75</v>
      </c>
      <c r="E18" t="s">
        <v>82</v>
      </c>
      <c r="F18" t="s">
        <v>84</v>
      </c>
    </row>
    <row r="19" spans="1:6" x14ac:dyDescent="0.25">
      <c r="A19" t="s">
        <v>80</v>
      </c>
      <c r="E19">
        <v>0</v>
      </c>
      <c r="F19">
        <v>0.94</v>
      </c>
    </row>
    <row r="20" spans="1:6" x14ac:dyDescent="0.25">
      <c r="B20" t="s">
        <v>81</v>
      </c>
      <c r="E20">
        <v>1.2</v>
      </c>
      <c r="F20">
        <v>1.38</v>
      </c>
    </row>
    <row r="21" spans="1:6" x14ac:dyDescent="0.25">
      <c r="B21" t="s">
        <v>83</v>
      </c>
      <c r="E21">
        <v>0</v>
      </c>
      <c r="F21">
        <v>1.1000000000000001</v>
      </c>
    </row>
    <row r="24" spans="1:6" x14ac:dyDescent="0.25">
      <c r="A24" t="s">
        <v>77</v>
      </c>
    </row>
    <row r="25" spans="1:6" x14ac:dyDescent="0.25">
      <c r="A25" t="s">
        <v>76</v>
      </c>
    </row>
    <row r="26" spans="1:6" x14ac:dyDescent="0.25">
      <c r="A26" t="s">
        <v>78</v>
      </c>
    </row>
    <row r="27" spans="1:6" x14ac:dyDescent="0.25">
      <c r="A2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</vt:lpstr>
      <vt:lpstr>Assumptions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2013-12-13T18:01:56Z</dcterms:created>
  <dcterms:modified xsi:type="dcterms:W3CDTF">2013-12-13T18:02:15Z</dcterms:modified>
</cp:coreProperties>
</file>